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\OneDrive\Desktop\Ivanhoe Runners\"/>
    </mc:Choice>
  </mc:AlternateContent>
  <xr:revisionPtr revIDLastSave="0" documentId="13_ncr:1_{0096BD39-F4DB-4867-95AB-282BD111FF7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4 HALL OF FAME" sheetId="40" r:id="rId1"/>
    <sheet name="Women's League" sheetId="58" r:id="rId2"/>
    <sheet name="Mens League" sheetId="4" r:id="rId3"/>
    <sheet name="Derby 5K" sheetId="6" r:id="rId4"/>
    <sheet name="Grace Dieu XC" sheetId="59" r:id="rId5"/>
    <sheet name="Bosworth XC" sheetId="18" r:id="rId6"/>
    <sheet name="Kibworth 6" sheetId="41" r:id="rId7"/>
    <sheet name="Ivanhoe 20" sheetId="42" r:id="rId8"/>
    <sheet name="Run In Forest" sheetId="43" r:id="rId9"/>
    <sheet name="Stilton 7" sheetId="60" r:id="rId10"/>
    <sheet name="Uttoxeter HM" sheetId="44" r:id="rId11"/>
    <sheet name="West End 8" sheetId="46" r:id="rId12"/>
    <sheet name="Bosworth HM" sheetId="45" r:id="rId13"/>
    <sheet name="Swithland 6" sheetId="47" r:id="rId14"/>
    <sheet name="Washlands Relays" sheetId="48" r:id="rId15"/>
    <sheet name="Worthington 6" sheetId="50" r:id="rId16"/>
    <sheet name="Tara Kinder 10K" sheetId="49" r:id="rId17"/>
    <sheet name="Joy Cann 5" sheetId="51" r:id="rId18"/>
    <sheet name="Burton 10k" sheetId="52" r:id="rId19"/>
    <sheet name="Rotherby 8" sheetId="55" r:id="rId20"/>
    <sheet name="Lichfield 10k" sheetId="56" r:id="rId21"/>
    <sheet name="Adrian Smith" sheetId="57" r:id="rId22"/>
    <sheet name="Tamworth 5" sheetId="53" r:id="rId23"/>
    <sheet name="Bagworth XC" sheetId="54" r:id="rId24"/>
    <sheet name="Markfield 10k" sheetId="61" r:id="rId25"/>
    <sheet name="Shepshed 7" sheetId="62" r:id="rId26"/>
  </sheets>
  <definedNames>
    <definedName name="_xlnm._FilterDatabase" localSheetId="21" hidden="1">'Adrian Smith'!$F$1:$I$7</definedName>
    <definedName name="_xlnm._FilterDatabase" localSheetId="23" hidden="1">'Bagworth XC'!$F$1:$I$8</definedName>
    <definedName name="_xlnm._FilterDatabase" localSheetId="12" hidden="1">'Bosworth HM'!$F$1:$I$6</definedName>
    <definedName name="_xlnm._FilterDatabase" localSheetId="5" hidden="1">'Bosworth XC'!$F$1:$I$6</definedName>
    <definedName name="_xlnm._FilterDatabase" localSheetId="18" hidden="1">'Burton 10k'!$F$1:$I$6</definedName>
    <definedName name="_xlnm._FilterDatabase" localSheetId="3" hidden="1">'Derby 5K'!$B$3:$K$4</definedName>
    <definedName name="_xlnm._FilterDatabase" localSheetId="4" hidden="1">'Grace Dieu XC'!$F$1:$I$8</definedName>
    <definedName name="_xlnm._FilterDatabase" localSheetId="7" hidden="1">'Ivanhoe 20'!$F$1:$I$6</definedName>
    <definedName name="_xlnm._FilterDatabase" localSheetId="17" hidden="1">'Joy Cann 5'!$F$1:$I$5</definedName>
    <definedName name="_xlnm._FilterDatabase" localSheetId="6" hidden="1">'Kibworth 6'!$F$1:$I$6</definedName>
    <definedName name="_xlnm._FilterDatabase" localSheetId="20" hidden="1">'Lichfield 10k'!$F$1:$I$6</definedName>
    <definedName name="_xlnm._FilterDatabase" localSheetId="24" hidden="1">'Markfield 10k'!$F$1:$I$5</definedName>
    <definedName name="_xlnm._FilterDatabase" localSheetId="2" hidden="1">'Mens League'!$A$2:$Z$53</definedName>
    <definedName name="_xlnm._FilterDatabase" localSheetId="19" hidden="1">'Rotherby 8'!$F$1:$I$6</definedName>
    <definedName name="_xlnm._FilterDatabase" localSheetId="8" hidden="1">'Run In Forest'!$F$1:$I$7</definedName>
    <definedName name="_xlnm._FilterDatabase" localSheetId="25" hidden="1">'Shepshed 7'!$F$1:$I$5</definedName>
    <definedName name="_xlnm._FilterDatabase" localSheetId="9" hidden="1">'Stilton 7'!$F$1:$I$7</definedName>
    <definedName name="_xlnm._FilterDatabase" localSheetId="13" hidden="1">'Swithland 6'!$F$1:$I$5</definedName>
    <definedName name="_xlnm._FilterDatabase" localSheetId="22" hidden="1">'Tamworth 5'!$F$1:$I$4</definedName>
    <definedName name="_xlnm._FilterDatabase" localSheetId="16" hidden="1">'Tara Kinder 10K'!$F$1:$I$6</definedName>
    <definedName name="_xlnm._FilterDatabase" localSheetId="10" hidden="1">'Uttoxeter HM'!$F$1:$I$7</definedName>
    <definedName name="_xlnm._FilterDatabase" localSheetId="14" hidden="1">'Washlands Relays'!$F$1:$I$8</definedName>
    <definedName name="_xlnm._FilterDatabase" localSheetId="11" hidden="1">'West End 8'!$F$1:$I$5</definedName>
    <definedName name="_xlnm._FilterDatabase" localSheetId="1" hidden="1">'Women''s League'!$A$2:$Z$50</definedName>
    <definedName name="_xlnm._FilterDatabase" localSheetId="15" hidden="1">'Worthington 6'!$F$1:$I$6</definedName>
  </definedNames>
  <calcPr calcId="191029"/>
</workbook>
</file>

<file path=xl/calcChain.xml><?xml version="1.0" encoding="utf-8"?>
<calcChain xmlns="http://schemas.openxmlformats.org/spreadsheetml/2006/main">
  <c r="F4" i="4" l="1"/>
  <c r="F3" i="4"/>
  <c r="F8" i="4"/>
  <c r="F7" i="4"/>
  <c r="F33" i="58"/>
  <c r="F62" i="4"/>
  <c r="F63" i="4"/>
  <c r="F64" i="4"/>
  <c r="F65" i="4"/>
  <c r="F66" i="4"/>
  <c r="F67" i="4"/>
  <c r="F68" i="4"/>
  <c r="F58" i="4"/>
  <c r="F54" i="4"/>
  <c r="F34" i="58"/>
  <c r="F23" i="58"/>
  <c r="F26" i="4"/>
  <c r="F48" i="58"/>
  <c r="F49" i="4"/>
  <c r="F22" i="4"/>
  <c r="A65" i="48"/>
  <c r="A66" i="48"/>
  <c r="A67" i="48"/>
  <c r="B65" i="48"/>
  <c r="B66" i="48"/>
  <c r="B67" i="48"/>
  <c r="D65" i="48"/>
  <c r="C65" i="48" s="1"/>
  <c r="D66" i="48"/>
  <c r="C66" i="48" s="1"/>
  <c r="D67" i="48"/>
  <c r="C67" i="48" s="1"/>
  <c r="D64" i="48"/>
  <c r="F51" i="4"/>
  <c r="F47" i="4"/>
  <c r="F38" i="4"/>
  <c r="A13" i="46"/>
  <c r="B13" i="46"/>
  <c r="D13" i="46"/>
  <c r="C13" i="46" s="1"/>
  <c r="F19" i="4"/>
  <c r="F17" i="58"/>
  <c r="F27" i="58"/>
  <c r="F17" i="4"/>
  <c r="F16" i="4"/>
  <c r="F39" i="58"/>
  <c r="F56" i="4"/>
  <c r="F43" i="58"/>
  <c r="F53" i="4"/>
  <c r="F24" i="4"/>
  <c r="F41" i="4"/>
  <c r="F30" i="4"/>
  <c r="F29" i="4"/>
  <c r="F14" i="4"/>
  <c r="F46" i="4"/>
  <c r="F55" i="4"/>
  <c r="F23" i="4"/>
  <c r="F20" i="4"/>
  <c r="F21" i="4"/>
  <c r="F27" i="4"/>
  <c r="F15" i="4"/>
  <c r="F34" i="4"/>
  <c r="F18" i="4"/>
  <c r="F28" i="4"/>
  <c r="F25" i="4"/>
  <c r="F50" i="4"/>
  <c r="F11" i="4"/>
  <c r="F37" i="4"/>
  <c r="F36" i="4"/>
  <c r="F57" i="4"/>
  <c r="F12" i="4"/>
  <c r="F45" i="4"/>
  <c r="F31" i="4"/>
  <c r="F40" i="4"/>
  <c r="F59" i="4"/>
  <c r="F42" i="4"/>
  <c r="F61" i="4"/>
  <c r="F43" i="4"/>
  <c r="F60" i="4"/>
  <c r="F33" i="4"/>
  <c r="F32" i="4"/>
  <c r="F48" i="4"/>
  <c r="F39" i="4"/>
  <c r="F44" i="4"/>
  <c r="F52" i="4"/>
  <c r="F69" i="4"/>
  <c r="F35" i="4"/>
  <c r="F10" i="58"/>
  <c r="F3" i="58"/>
  <c r="F11" i="58"/>
  <c r="F18" i="58"/>
  <c r="F24" i="58"/>
  <c r="F51" i="58"/>
  <c r="F22" i="58"/>
  <c r="F46" i="58"/>
  <c r="F4" i="58"/>
  <c r="F26" i="58"/>
  <c r="F49" i="58"/>
  <c r="F16" i="58"/>
  <c r="F31" i="58"/>
  <c r="F15" i="58"/>
  <c r="F7" i="58"/>
  <c r="F12" i="58"/>
  <c r="F40" i="58"/>
  <c r="F42" i="58"/>
  <c r="F52" i="58"/>
  <c r="F37" i="58"/>
  <c r="F36" i="58"/>
  <c r="F53" i="58"/>
  <c r="F54" i="58"/>
  <c r="F38" i="58"/>
  <c r="F5" i="58"/>
  <c r="F21" i="58"/>
  <c r="F14" i="58"/>
  <c r="F20" i="58"/>
  <c r="F30" i="58"/>
  <c r="F55" i="58"/>
  <c r="F44" i="58"/>
  <c r="F41" i="58"/>
  <c r="F32" i="58"/>
  <c r="F56" i="58"/>
  <c r="F57" i="58"/>
  <c r="F58" i="58"/>
  <c r="F59" i="58"/>
  <c r="F35" i="58"/>
  <c r="F29" i="58"/>
  <c r="F60" i="58"/>
  <c r="F61" i="58"/>
  <c r="F19" i="58"/>
  <c r="F62" i="58"/>
  <c r="F25" i="58"/>
  <c r="F47" i="58"/>
  <c r="F45" i="58"/>
  <c r="F50" i="58"/>
  <c r="F28" i="58"/>
  <c r="F63" i="58"/>
  <c r="F8" i="58"/>
  <c r="T4" i="6"/>
  <c r="T5" i="6"/>
  <c r="T6" i="6"/>
  <c r="T7" i="6"/>
  <c r="T8" i="6"/>
  <c r="T9" i="6"/>
  <c r="T10" i="6"/>
  <c r="T11" i="6"/>
  <c r="T12" i="6"/>
  <c r="T13" i="6"/>
  <c r="T14" i="6"/>
  <c r="U14" i="6" s="1"/>
  <c r="T15" i="6"/>
  <c r="U15" i="6" s="1"/>
  <c r="I4" i="6"/>
  <c r="I5" i="6"/>
  <c r="I6" i="6"/>
  <c r="I7" i="6"/>
  <c r="I8" i="6"/>
  <c r="I9" i="6"/>
  <c r="I10" i="6"/>
  <c r="I11" i="6"/>
  <c r="I12" i="6"/>
  <c r="I13" i="6"/>
  <c r="I14" i="6"/>
  <c r="I15" i="6"/>
  <c r="D47" i="62"/>
  <c r="C47" i="62"/>
  <c r="B47" i="62"/>
  <c r="A47" i="62"/>
  <c r="D46" i="62"/>
  <c r="C46" i="62"/>
  <c r="B46" i="62"/>
  <c r="A46" i="62"/>
  <c r="D45" i="62"/>
  <c r="C45" i="62"/>
  <c r="B45" i="62"/>
  <c r="A45" i="62"/>
  <c r="D44" i="62"/>
  <c r="C44" i="62"/>
  <c r="B44" i="62"/>
  <c r="A44" i="62"/>
  <c r="D43" i="62"/>
  <c r="C43" i="62"/>
  <c r="B43" i="62"/>
  <c r="A43" i="62"/>
  <c r="D42" i="62"/>
  <c r="C42" i="62"/>
  <c r="B42" i="62"/>
  <c r="A42" i="62"/>
  <c r="D41" i="62"/>
  <c r="C41" i="62"/>
  <c r="B41" i="62"/>
  <c r="A41" i="62"/>
  <c r="D40" i="62"/>
  <c r="C40" i="62"/>
  <c r="B40" i="62"/>
  <c r="A40" i="62"/>
  <c r="D39" i="62"/>
  <c r="C39" i="62"/>
  <c r="B39" i="62"/>
  <c r="A39" i="62"/>
  <c r="D38" i="62"/>
  <c r="C38" i="62"/>
  <c r="B38" i="62"/>
  <c r="A38" i="62"/>
  <c r="D37" i="62"/>
  <c r="C37" i="62"/>
  <c r="B37" i="62"/>
  <c r="A37" i="62"/>
  <c r="D36" i="62"/>
  <c r="C36" i="62"/>
  <c r="B36" i="62"/>
  <c r="A36" i="62"/>
  <c r="D35" i="62"/>
  <c r="C35" i="62"/>
  <c r="B35" i="62"/>
  <c r="A35" i="62"/>
  <c r="D34" i="62"/>
  <c r="C34" i="62"/>
  <c r="B34" i="62"/>
  <c r="A34" i="62"/>
  <c r="D33" i="62"/>
  <c r="C33" i="62"/>
  <c r="B33" i="62"/>
  <c r="A33" i="62"/>
  <c r="D32" i="62"/>
  <c r="C32" i="62"/>
  <c r="B32" i="62"/>
  <c r="A32" i="62"/>
  <c r="D31" i="62"/>
  <c r="C31" i="62"/>
  <c r="B31" i="62"/>
  <c r="A31" i="62"/>
  <c r="D30" i="62"/>
  <c r="C30" i="62" s="1"/>
  <c r="B30" i="62"/>
  <c r="A30" i="62"/>
  <c r="D29" i="62"/>
  <c r="C29" i="62" s="1"/>
  <c r="B29" i="62"/>
  <c r="A29" i="62"/>
  <c r="D28" i="62"/>
  <c r="C28" i="62" s="1"/>
  <c r="B28" i="62"/>
  <c r="A28" i="62"/>
  <c r="D27" i="62"/>
  <c r="C27" i="62" s="1"/>
  <c r="B27" i="62"/>
  <c r="A27" i="62"/>
  <c r="D26" i="62"/>
  <c r="C26" i="62" s="1"/>
  <c r="B26" i="62"/>
  <c r="A26" i="62"/>
  <c r="D25" i="62"/>
  <c r="C25" i="62" s="1"/>
  <c r="B25" i="62"/>
  <c r="A25" i="62"/>
  <c r="D24" i="62"/>
  <c r="C24" i="62" s="1"/>
  <c r="B24" i="62"/>
  <c r="A24" i="62"/>
  <c r="D23" i="62"/>
  <c r="C23" i="62" s="1"/>
  <c r="B23" i="62"/>
  <c r="A23" i="62"/>
  <c r="D22" i="62"/>
  <c r="C22" i="62" s="1"/>
  <c r="B22" i="62"/>
  <c r="A22" i="62"/>
  <c r="D21" i="62"/>
  <c r="C21" i="62" s="1"/>
  <c r="B21" i="62"/>
  <c r="A21" i="62"/>
  <c r="D20" i="62"/>
  <c r="C20" i="62" s="1"/>
  <c r="B20" i="62"/>
  <c r="A20" i="62"/>
  <c r="D19" i="62"/>
  <c r="C19" i="62" s="1"/>
  <c r="B19" i="62"/>
  <c r="A19" i="62"/>
  <c r="D18" i="62"/>
  <c r="C18" i="62" s="1"/>
  <c r="B18" i="62"/>
  <c r="A18" i="62"/>
  <c r="D17" i="62"/>
  <c r="C17" i="62" s="1"/>
  <c r="B17" i="62"/>
  <c r="A17" i="62"/>
  <c r="D16" i="62"/>
  <c r="C16" i="62" s="1"/>
  <c r="B16" i="62"/>
  <c r="A16" i="62"/>
  <c r="D15" i="62"/>
  <c r="C15" i="62" s="1"/>
  <c r="B15" i="62"/>
  <c r="A15" i="62"/>
  <c r="D14" i="62"/>
  <c r="C14" i="62" s="1"/>
  <c r="B14" i="62"/>
  <c r="A14" i="62"/>
  <c r="D13" i="62"/>
  <c r="C13" i="62" s="1"/>
  <c r="B13" i="62"/>
  <c r="A13" i="62"/>
  <c r="D12" i="62"/>
  <c r="C12" i="62" s="1"/>
  <c r="B12" i="62"/>
  <c r="A12" i="62"/>
  <c r="D11" i="62"/>
  <c r="C11" i="62" s="1"/>
  <c r="B11" i="62"/>
  <c r="A11" i="62"/>
  <c r="D10" i="62"/>
  <c r="C10" i="62" s="1"/>
  <c r="B10" i="62"/>
  <c r="A10" i="62"/>
  <c r="D9" i="62"/>
  <c r="C9" i="62" s="1"/>
  <c r="B9" i="62"/>
  <c r="A9" i="62"/>
  <c r="D8" i="62"/>
  <c r="C8" i="62" s="1"/>
  <c r="B8" i="62"/>
  <c r="A8" i="62"/>
  <c r="D7" i="62"/>
  <c r="C7" i="62" s="1"/>
  <c r="B7" i="62"/>
  <c r="A7" i="62"/>
  <c r="D6" i="62"/>
  <c r="C6" i="62" s="1"/>
  <c r="B6" i="62"/>
  <c r="A6" i="62"/>
  <c r="D5" i="62"/>
  <c r="C5" i="62" s="1"/>
  <c r="B5" i="62"/>
  <c r="A5" i="62"/>
  <c r="D4" i="62"/>
  <c r="C4" i="62" s="1"/>
  <c r="B4" i="62"/>
  <c r="A4" i="62"/>
  <c r="D3" i="62"/>
  <c r="C3" i="62" s="1"/>
  <c r="B3" i="62"/>
  <c r="A3" i="62"/>
  <c r="D2" i="62"/>
  <c r="C2" i="62" s="1"/>
  <c r="B2" i="62"/>
  <c r="A2" i="62"/>
  <c r="D47" i="61"/>
  <c r="C47" i="61"/>
  <c r="B47" i="61"/>
  <c r="A47" i="61"/>
  <c r="D46" i="61"/>
  <c r="C46" i="61"/>
  <c r="B46" i="61"/>
  <c r="A46" i="61"/>
  <c r="D45" i="61"/>
  <c r="C45" i="61"/>
  <c r="B45" i="61"/>
  <c r="A45" i="61"/>
  <c r="D44" i="61"/>
  <c r="C44" i="61"/>
  <c r="B44" i="61"/>
  <c r="A44" i="61"/>
  <c r="D43" i="61"/>
  <c r="C43" i="61"/>
  <c r="B43" i="61"/>
  <c r="A43" i="61"/>
  <c r="D42" i="61"/>
  <c r="C42" i="61"/>
  <c r="B42" i="61"/>
  <c r="A42" i="61"/>
  <c r="D41" i="61"/>
  <c r="C41" i="61"/>
  <c r="B41" i="61"/>
  <c r="A41" i="61"/>
  <c r="D40" i="61"/>
  <c r="C40" i="61"/>
  <c r="B40" i="61"/>
  <c r="A40" i="61"/>
  <c r="D39" i="61"/>
  <c r="C39" i="61"/>
  <c r="B39" i="61"/>
  <c r="A39" i="61"/>
  <c r="D38" i="61"/>
  <c r="C38" i="61"/>
  <c r="B38" i="61"/>
  <c r="A38" i="61"/>
  <c r="D37" i="61"/>
  <c r="C37" i="61"/>
  <c r="B37" i="61"/>
  <c r="A37" i="61"/>
  <c r="D36" i="61"/>
  <c r="C36" i="61"/>
  <c r="B36" i="61"/>
  <c r="A36" i="61"/>
  <c r="D35" i="61"/>
  <c r="C35" i="61"/>
  <c r="B35" i="61"/>
  <c r="A35" i="61"/>
  <c r="D34" i="61"/>
  <c r="C34" i="61"/>
  <c r="B34" i="61"/>
  <c r="A34" i="61"/>
  <c r="D33" i="61"/>
  <c r="C33" i="61"/>
  <c r="B33" i="61"/>
  <c r="A33" i="61"/>
  <c r="D32" i="61"/>
  <c r="C32" i="61"/>
  <c r="B32" i="61"/>
  <c r="A32" i="61"/>
  <c r="D31" i="61"/>
  <c r="C31" i="61"/>
  <c r="B31" i="61"/>
  <c r="A31" i="61"/>
  <c r="D30" i="61"/>
  <c r="C30" i="61" s="1"/>
  <c r="B30" i="61"/>
  <c r="A30" i="61"/>
  <c r="D29" i="61"/>
  <c r="C29" i="61" s="1"/>
  <c r="B29" i="61"/>
  <c r="A29" i="61"/>
  <c r="D28" i="61"/>
  <c r="C28" i="61" s="1"/>
  <c r="B28" i="61"/>
  <c r="A28" i="61"/>
  <c r="D27" i="61"/>
  <c r="C27" i="61" s="1"/>
  <c r="B27" i="61"/>
  <c r="A27" i="61"/>
  <c r="D26" i="61"/>
  <c r="C26" i="61" s="1"/>
  <c r="B26" i="61"/>
  <c r="A26" i="61"/>
  <c r="D25" i="61"/>
  <c r="C25" i="61" s="1"/>
  <c r="B25" i="61"/>
  <c r="A25" i="61"/>
  <c r="D24" i="61"/>
  <c r="C24" i="61" s="1"/>
  <c r="B24" i="61"/>
  <c r="A24" i="61"/>
  <c r="D23" i="61"/>
  <c r="C23" i="61" s="1"/>
  <c r="B23" i="61"/>
  <c r="A23" i="61"/>
  <c r="D22" i="61"/>
  <c r="C22" i="61" s="1"/>
  <c r="B22" i="61"/>
  <c r="A22" i="61"/>
  <c r="D21" i="61"/>
  <c r="C21" i="61" s="1"/>
  <c r="B21" i="61"/>
  <c r="A21" i="61"/>
  <c r="D20" i="61"/>
  <c r="C20" i="61" s="1"/>
  <c r="B20" i="61"/>
  <c r="A20" i="61"/>
  <c r="D19" i="61"/>
  <c r="C19" i="61" s="1"/>
  <c r="B19" i="61"/>
  <c r="A19" i="61"/>
  <c r="D18" i="61"/>
  <c r="C18" i="61" s="1"/>
  <c r="B18" i="61"/>
  <c r="A18" i="61"/>
  <c r="D17" i="61"/>
  <c r="C17" i="61" s="1"/>
  <c r="B17" i="61"/>
  <c r="A17" i="61"/>
  <c r="D16" i="61"/>
  <c r="C16" i="61" s="1"/>
  <c r="B16" i="61"/>
  <c r="A16" i="61"/>
  <c r="D15" i="61"/>
  <c r="C15" i="61" s="1"/>
  <c r="B15" i="61"/>
  <c r="A15" i="61"/>
  <c r="D14" i="61"/>
  <c r="C14" i="61" s="1"/>
  <c r="B14" i="61"/>
  <c r="A14" i="61"/>
  <c r="D13" i="61"/>
  <c r="C13" i="61" s="1"/>
  <c r="B13" i="61"/>
  <c r="A13" i="61"/>
  <c r="D12" i="61"/>
  <c r="C12" i="61" s="1"/>
  <c r="B12" i="61"/>
  <c r="A12" i="61"/>
  <c r="D11" i="61"/>
  <c r="C11" i="61" s="1"/>
  <c r="B11" i="61"/>
  <c r="A11" i="61"/>
  <c r="D10" i="61"/>
  <c r="C10" i="61" s="1"/>
  <c r="B10" i="61"/>
  <c r="A10" i="61"/>
  <c r="D9" i="61"/>
  <c r="C9" i="61" s="1"/>
  <c r="B9" i="61"/>
  <c r="A9" i="61"/>
  <c r="D8" i="61"/>
  <c r="C8" i="61" s="1"/>
  <c r="B8" i="61"/>
  <c r="A8" i="61"/>
  <c r="D7" i="61"/>
  <c r="C7" i="61" s="1"/>
  <c r="B7" i="61"/>
  <c r="A7" i="61"/>
  <c r="D6" i="61"/>
  <c r="C6" i="61" s="1"/>
  <c r="B6" i="61"/>
  <c r="A6" i="61"/>
  <c r="D5" i="61"/>
  <c r="C5" i="61" s="1"/>
  <c r="B5" i="61"/>
  <c r="A5" i="61"/>
  <c r="D4" i="61"/>
  <c r="C4" i="61" s="1"/>
  <c r="B4" i="61"/>
  <c r="A4" i="61"/>
  <c r="D3" i="61"/>
  <c r="C3" i="61" s="1"/>
  <c r="B3" i="61"/>
  <c r="A3" i="61"/>
  <c r="D2" i="61"/>
  <c r="C2" i="61" s="1"/>
  <c r="B2" i="61"/>
  <c r="A2" i="61"/>
  <c r="D48" i="60"/>
  <c r="C48" i="60"/>
  <c r="B48" i="60"/>
  <c r="A48" i="60"/>
  <c r="D47" i="60"/>
  <c r="C47" i="60"/>
  <c r="B47" i="60"/>
  <c r="A47" i="60"/>
  <c r="D46" i="60"/>
  <c r="C46" i="60"/>
  <c r="B46" i="60"/>
  <c r="A46" i="60"/>
  <c r="D45" i="60"/>
  <c r="C45" i="60"/>
  <c r="B45" i="60"/>
  <c r="A45" i="60"/>
  <c r="D44" i="60"/>
  <c r="C44" i="60"/>
  <c r="B44" i="60"/>
  <c r="A44" i="60"/>
  <c r="D43" i="60"/>
  <c r="C43" i="60"/>
  <c r="B43" i="60"/>
  <c r="A43" i="60"/>
  <c r="D42" i="60"/>
  <c r="C42" i="60"/>
  <c r="B42" i="60"/>
  <c r="A42" i="60"/>
  <c r="D41" i="60"/>
  <c r="C41" i="60"/>
  <c r="B41" i="60"/>
  <c r="A41" i="60"/>
  <c r="D40" i="60"/>
  <c r="C40" i="60"/>
  <c r="B40" i="60"/>
  <c r="A40" i="60"/>
  <c r="D39" i="60"/>
  <c r="C39" i="60"/>
  <c r="B39" i="60"/>
  <c r="A39" i="60"/>
  <c r="D38" i="60"/>
  <c r="C38" i="60"/>
  <c r="B38" i="60"/>
  <c r="A38" i="60"/>
  <c r="D37" i="60"/>
  <c r="C37" i="60"/>
  <c r="B37" i="60"/>
  <c r="A37" i="60"/>
  <c r="D36" i="60"/>
  <c r="C36" i="60"/>
  <c r="B36" i="60"/>
  <c r="A36" i="60"/>
  <c r="D35" i="60"/>
  <c r="C35" i="60"/>
  <c r="B35" i="60"/>
  <c r="A35" i="60"/>
  <c r="D34" i="60"/>
  <c r="C34" i="60"/>
  <c r="B34" i="60"/>
  <c r="A34" i="60"/>
  <c r="D33" i="60"/>
  <c r="C33" i="60"/>
  <c r="B33" i="60"/>
  <c r="A33" i="60"/>
  <c r="D32" i="60"/>
  <c r="C32" i="60" s="1"/>
  <c r="B32" i="60"/>
  <c r="A32" i="60"/>
  <c r="D31" i="60"/>
  <c r="C31" i="60"/>
  <c r="B31" i="60"/>
  <c r="A31" i="60"/>
  <c r="D30" i="60"/>
  <c r="C30" i="60"/>
  <c r="B30" i="60"/>
  <c r="A30" i="60"/>
  <c r="D29" i="60"/>
  <c r="C29" i="60"/>
  <c r="B29" i="60"/>
  <c r="A29" i="60"/>
  <c r="D28" i="60"/>
  <c r="C28" i="60"/>
  <c r="B28" i="60"/>
  <c r="A28" i="60"/>
  <c r="D27" i="60"/>
  <c r="C27" i="60"/>
  <c r="B27" i="60"/>
  <c r="A27" i="60"/>
  <c r="D26" i="60"/>
  <c r="C26" i="60"/>
  <c r="B26" i="60"/>
  <c r="A26" i="60"/>
  <c r="D25" i="60"/>
  <c r="C25" i="60"/>
  <c r="B25" i="60"/>
  <c r="A25" i="60"/>
  <c r="D24" i="60"/>
  <c r="C24" i="60"/>
  <c r="B24" i="60"/>
  <c r="A24" i="60"/>
  <c r="D23" i="60"/>
  <c r="C23" i="60"/>
  <c r="B23" i="60"/>
  <c r="A23" i="60"/>
  <c r="D22" i="60"/>
  <c r="C22" i="60"/>
  <c r="B22" i="60"/>
  <c r="A22" i="60"/>
  <c r="D21" i="60"/>
  <c r="C21" i="60"/>
  <c r="B21" i="60"/>
  <c r="A21" i="60"/>
  <c r="D20" i="60"/>
  <c r="C20" i="60"/>
  <c r="B20" i="60"/>
  <c r="A20" i="60"/>
  <c r="D19" i="60"/>
  <c r="C19" i="60"/>
  <c r="B19" i="60"/>
  <c r="A19" i="60"/>
  <c r="D18" i="60"/>
  <c r="C18" i="60"/>
  <c r="B18" i="60"/>
  <c r="A18" i="60"/>
  <c r="D17" i="60"/>
  <c r="C17" i="60"/>
  <c r="B17" i="60"/>
  <c r="A17" i="60"/>
  <c r="D16" i="60"/>
  <c r="C16" i="60"/>
  <c r="B16" i="60"/>
  <c r="A16" i="60"/>
  <c r="D15" i="60"/>
  <c r="C15" i="60"/>
  <c r="B15" i="60"/>
  <c r="A15" i="60"/>
  <c r="D14" i="60"/>
  <c r="C14" i="60"/>
  <c r="B14" i="60"/>
  <c r="A14" i="60"/>
  <c r="D13" i="60"/>
  <c r="C13" i="60"/>
  <c r="B13" i="60"/>
  <c r="A13" i="60"/>
  <c r="D12" i="60"/>
  <c r="C12" i="60" s="1"/>
  <c r="B12" i="60"/>
  <c r="A12" i="60"/>
  <c r="D11" i="60"/>
  <c r="C11" i="60" s="1"/>
  <c r="B11" i="60"/>
  <c r="A11" i="60"/>
  <c r="D10" i="60"/>
  <c r="C10" i="60" s="1"/>
  <c r="B10" i="60"/>
  <c r="A10" i="60"/>
  <c r="D9" i="60"/>
  <c r="C9" i="60" s="1"/>
  <c r="B9" i="60"/>
  <c r="A9" i="60"/>
  <c r="D8" i="60"/>
  <c r="C8" i="60" s="1"/>
  <c r="B8" i="60"/>
  <c r="A8" i="60"/>
  <c r="D7" i="60"/>
  <c r="C7" i="60" s="1"/>
  <c r="B7" i="60"/>
  <c r="A7" i="60"/>
  <c r="D6" i="60"/>
  <c r="C6" i="60" s="1"/>
  <c r="B6" i="60"/>
  <c r="A6" i="60"/>
  <c r="D5" i="60"/>
  <c r="C5" i="60" s="1"/>
  <c r="B5" i="60"/>
  <c r="A5" i="60"/>
  <c r="D4" i="60"/>
  <c r="C4" i="60" s="1"/>
  <c r="B4" i="60"/>
  <c r="A4" i="60"/>
  <c r="D3" i="60"/>
  <c r="C3" i="60" s="1"/>
  <c r="B3" i="60"/>
  <c r="A3" i="60"/>
  <c r="D2" i="60"/>
  <c r="C2" i="60" s="1"/>
  <c r="B2" i="60"/>
  <c r="A2" i="60"/>
  <c r="D50" i="59"/>
  <c r="C50" i="59"/>
  <c r="B50" i="59"/>
  <c r="A50" i="59"/>
  <c r="D49" i="59"/>
  <c r="C49" i="59"/>
  <c r="B49" i="59"/>
  <c r="A49" i="59"/>
  <c r="D48" i="59"/>
  <c r="C48" i="59"/>
  <c r="B48" i="59"/>
  <c r="A48" i="59"/>
  <c r="D47" i="59"/>
  <c r="C47" i="59"/>
  <c r="B47" i="59"/>
  <c r="A47" i="59"/>
  <c r="D46" i="59"/>
  <c r="C46" i="59"/>
  <c r="B46" i="59"/>
  <c r="A46" i="59"/>
  <c r="D45" i="59"/>
  <c r="C45" i="59"/>
  <c r="B45" i="59"/>
  <c r="A45" i="59"/>
  <c r="D44" i="59"/>
  <c r="C44" i="59"/>
  <c r="B44" i="59"/>
  <c r="A44" i="59"/>
  <c r="D43" i="59"/>
  <c r="C43" i="59"/>
  <c r="B43" i="59"/>
  <c r="A43" i="59"/>
  <c r="D42" i="59"/>
  <c r="C42" i="59"/>
  <c r="B42" i="59"/>
  <c r="A42" i="59"/>
  <c r="D41" i="59"/>
  <c r="C41" i="59"/>
  <c r="B41" i="59"/>
  <c r="A41" i="59"/>
  <c r="D40" i="59"/>
  <c r="C40" i="59"/>
  <c r="B40" i="59"/>
  <c r="A40" i="59"/>
  <c r="D39" i="59"/>
  <c r="C39" i="59"/>
  <c r="B39" i="59"/>
  <c r="A39" i="59"/>
  <c r="D38" i="59"/>
  <c r="C38" i="59"/>
  <c r="B38" i="59"/>
  <c r="A38" i="59"/>
  <c r="D37" i="59"/>
  <c r="C37" i="59"/>
  <c r="B37" i="59"/>
  <c r="A37" i="59"/>
  <c r="D36" i="59"/>
  <c r="C36" i="59"/>
  <c r="B36" i="59"/>
  <c r="A36" i="59"/>
  <c r="D35" i="59"/>
  <c r="C35" i="59"/>
  <c r="B35" i="59"/>
  <c r="A35" i="59"/>
  <c r="D34" i="59"/>
  <c r="C34" i="59"/>
  <c r="B34" i="59"/>
  <c r="A34" i="59"/>
  <c r="D33" i="59"/>
  <c r="C33" i="59"/>
  <c r="B33" i="59"/>
  <c r="A33" i="59"/>
  <c r="D32" i="59"/>
  <c r="C32" i="59" s="1"/>
  <c r="B32" i="59"/>
  <c r="A32" i="59"/>
  <c r="D31" i="59"/>
  <c r="C31" i="59" s="1"/>
  <c r="B31" i="59"/>
  <c r="A31" i="59"/>
  <c r="D30" i="59"/>
  <c r="C30" i="59" s="1"/>
  <c r="B30" i="59"/>
  <c r="A30" i="59"/>
  <c r="D29" i="59"/>
  <c r="C29" i="59" s="1"/>
  <c r="B29" i="59"/>
  <c r="A29" i="59"/>
  <c r="D28" i="59"/>
  <c r="C28" i="59" s="1"/>
  <c r="B28" i="59"/>
  <c r="A28" i="59"/>
  <c r="D27" i="59"/>
  <c r="C27" i="59" s="1"/>
  <c r="B27" i="59"/>
  <c r="A27" i="59"/>
  <c r="D26" i="59"/>
  <c r="C26" i="59" s="1"/>
  <c r="B26" i="59"/>
  <c r="A26" i="59"/>
  <c r="D25" i="59"/>
  <c r="C25" i="59" s="1"/>
  <c r="B25" i="59"/>
  <c r="A25" i="59"/>
  <c r="D24" i="59"/>
  <c r="C24" i="59" s="1"/>
  <c r="B24" i="59"/>
  <c r="A24" i="59"/>
  <c r="D23" i="59"/>
  <c r="C23" i="59" s="1"/>
  <c r="B23" i="59"/>
  <c r="A23" i="59"/>
  <c r="D22" i="59"/>
  <c r="C22" i="59" s="1"/>
  <c r="B22" i="59"/>
  <c r="A22" i="59"/>
  <c r="D21" i="59"/>
  <c r="C21" i="59" s="1"/>
  <c r="B21" i="59"/>
  <c r="A21" i="59"/>
  <c r="D20" i="59"/>
  <c r="C20" i="59" s="1"/>
  <c r="B20" i="59"/>
  <c r="A20" i="59"/>
  <c r="D19" i="59"/>
  <c r="C19" i="59" s="1"/>
  <c r="B19" i="59"/>
  <c r="A19" i="59"/>
  <c r="D18" i="59"/>
  <c r="C18" i="59" s="1"/>
  <c r="B18" i="59"/>
  <c r="A18" i="59"/>
  <c r="D17" i="59"/>
  <c r="C17" i="59" s="1"/>
  <c r="B17" i="59"/>
  <c r="A17" i="59"/>
  <c r="D16" i="59"/>
  <c r="C16" i="59" s="1"/>
  <c r="B16" i="59"/>
  <c r="A16" i="59"/>
  <c r="D15" i="59"/>
  <c r="C15" i="59" s="1"/>
  <c r="B15" i="59"/>
  <c r="A15" i="59"/>
  <c r="D14" i="59"/>
  <c r="C14" i="59" s="1"/>
  <c r="B14" i="59"/>
  <c r="A14" i="59"/>
  <c r="D13" i="59"/>
  <c r="C13" i="59" s="1"/>
  <c r="B13" i="59"/>
  <c r="A13" i="59"/>
  <c r="D12" i="59"/>
  <c r="C12" i="59" s="1"/>
  <c r="B12" i="59"/>
  <c r="A12" i="59"/>
  <c r="D11" i="59"/>
  <c r="C11" i="59" s="1"/>
  <c r="B11" i="59"/>
  <c r="A11" i="59"/>
  <c r="D10" i="59"/>
  <c r="C10" i="59" s="1"/>
  <c r="B10" i="59"/>
  <c r="A10" i="59"/>
  <c r="D9" i="59"/>
  <c r="C9" i="59" s="1"/>
  <c r="B9" i="59"/>
  <c r="A9" i="59"/>
  <c r="D8" i="59"/>
  <c r="C8" i="59" s="1"/>
  <c r="B8" i="59"/>
  <c r="A8" i="59"/>
  <c r="D7" i="59"/>
  <c r="C7" i="59" s="1"/>
  <c r="B7" i="59"/>
  <c r="A7" i="59"/>
  <c r="D6" i="59"/>
  <c r="C6" i="59" s="1"/>
  <c r="B6" i="59"/>
  <c r="A6" i="59"/>
  <c r="D5" i="59"/>
  <c r="C5" i="59" s="1"/>
  <c r="B5" i="59"/>
  <c r="A5" i="59"/>
  <c r="D4" i="59"/>
  <c r="C4" i="59" s="1"/>
  <c r="B4" i="59"/>
  <c r="A4" i="59"/>
  <c r="D3" i="59"/>
  <c r="C3" i="59" s="1"/>
  <c r="B3" i="59"/>
  <c r="A3" i="59"/>
  <c r="D2" i="59"/>
  <c r="C2" i="59" s="1"/>
  <c r="B2" i="59"/>
  <c r="A2" i="59"/>
  <c r="AB8" i="4" l="1"/>
  <c r="AB6" i="4"/>
  <c r="AB3" i="4"/>
  <c r="AB4" i="4"/>
  <c r="AB5" i="4"/>
  <c r="AB7" i="4"/>
  <c r="AA33" i="58"/>
  <c r="L62" i="4"/>
  <c r="AB23" i="58"/>
  <c r="G23" i="58"/>
  <c r="AB54" i="4"/>
  <c r="G54" i="4"/>
  <c r="AB68" i="4"/>
  <c r="G67" i="4"/>
  <c r="L66" i="4"/>
  <c r="AA65" i="4"/>
  <c r="AB64" i="4"/>
  <c r="G63" i="4"/>
  <c r="G33" i="58"/>
  <c r="L23" i="58"/>
  <c r="AA34" i="58"/>
  <c r="AA54" i="4"/>
  <c r="L58" i="4"/>
  <c r="AA68" i="4"/>
  <c r="AB67" i="4"/>
  <c r="G66" i="4"/>
  <c r="L65" i="4"/>
  <c r="AA64" i="4"/>
  <c r="AB63" i="4"/>
  <c r="G62" i="4"/>
  <c r="AB58" i="4"/>
  <c r="G58" i="4"/>
  <c r="L68" i="4"/>
  <c r="AA67" i="4"/>
  <c r="AB66" i="4"/>
  <c r="G65" i="4"/>
  <c r="L64" i="4"/>
  <c r="AA63" i="4"/>
  <c r="AB62" i="4"/>
  <c r="L54" i="4"/>
  <c r="AA58" i="4"/>
  <c r="G68" i="4"/>
  <c r="L67" i="4"/>
  <c r="AA66" i="4"/>
  <c r="AB65" i="4"/>
  <c r="G64" i="4"/>
  <c r="L63" i="4"/>
  <c r="AA62" i="4"/>
  <c r="AB33" i="58"/>
  <c r="L33" i="58"/>
  <c r="AA23" i="58"/>
  <c r="AB34" i="58"/>
  <c r="L34" i="58"/>
  <c r="G34" i="58"/>
  <c r="L48" i="58"/>
  <c r="AB48" i="58"/>
  <c r="G48" i="58"/>
  <c r="AA51" i="4"/>
  <c r="AA22" i="4"/>
  <c r="L49" i="4"/>
  <c r="AA48" i="58"/>
  <c r="AB49" i="4"/>
  <c r="G49" i="4"/>
  <c r="AB26" i="4"/>
  <c r="L26" i="4"/>
  <c r="L22" i="4"/>
  <c r="AA49" i="4"/>
  <c r="AA26" i="4"/>
  <c r="G26" i="4"/>
  <c r="AB22" i="4"/>
  <c r="G22" i="4"/>
  <c r="L51" i="4"/>
  <c r="AB47" i="4"/>
  <c r="G38" i="4"/>
  <c r="AA38" i="4"/>
  <c r="L47" i="4"/>
  <c r="G51" i="4"/>
  <c r="AB27" i="58"/>
  <c r="L38" i="4"/>
  <c r="AA47" i="4"/>
  <c r="AB51" i="4"/>
  <c r="AB38" i="4"/>
  <c r="G47" i="4"/>
  <c r="G27" i="58"/>
  <c r="L16" i="4"/>
  <c r="AA16" i="4"/>
  <c r="AB17" i="4"/>
  <c r="G19" i="4"/>
  <c r="AA17" i="4"/>
  <c r="G17" i="58"/>
  <c r="AA19" i="4"/>
  <c r="AB16" i="4"/>
  <c r="AA27" i="58"/>
  <c r="AB17" i="58"/>
  <c r="G16" i="4"/>
  <c r="G17" i="4"/>
  <c r="AA17" i="58"/>
  <c r="AB19" i="4"/>
  <c r="L17" i="58"/>
  <c r="L17" i="4"/>
  <c r="L27" i="58"/>
  <c r="L19" i="4"/>
  <c r="L56" i="4"/>
  <c r="L29" i="58"/>
  <c r="AA56" i="4"/>
  <c r="G56" i="4"/>
  <c r="AB56" i="4"/>
  <c r="AB43" i="58"/>
  <c r="L43" i="58"/>
  <c r="G43" i="58"/>
  <c r="AB35" i="4"/>
  <c r="AA43" i="58"/>
  <c r="AB39" i="58"/>
  <c r="L39" i="58"/>
  <c r="L8" i="4"/>
  <c r="G8" i="4"/>
  <c r="AA39" i="58"/>
  <c r="G39" i="58"/>
  <c r="AA8" i="4"/>
  <c r="L35" i="4"/>
  <c r="G35" i="4"/>
  <c r="AA11" i="58"/>
  <c r="AB8" i="58"/>
  <c r="L8" i="58"/>
  <c r="AA8" i="58"/>
  <c r="G8" i="58"/>
  <c r="AA35" i="4"/>
  <c r="G23" i="4"/>
  <c r="G10" i="58"/>
  <c r="G3" i="4"/>
  <c r="G63" i="58"/>
  <c r="G47" i="58"/>
  <c r="G61" i="58"/>
  <c r="G59" i="58"/>
  <c r="G32" i="58"/>
  <c r="G30" i="58"/>
  <c r="G5" i="58"/>
  <c r="G36" i="58"/>
  <c r="G40" i="58"/>
  <c r="G6" i="58"/>
  <c r="G49" i="58"/>
  <c r="G22" i="58"/>
  <c r="G11" i="58"/>
  <c r="G19" i="58"/>
  <c r="G56" i="58"/>
  <c r="G21" i="58"/>
  <c r="G42" i="58"/>
  <c r="G46" i="58"/>
  <c r="G48" i="4"/>
  <c r="G59" i="4"/>
  <c r="G12" i="4"/>
  <c r="G18" i="4"/>
  <c r="G21" i="4"/>
  <c r="G41" i="4"/>
  <c r="G5" i="4"/>
  <c r="G32" i="4"/>
  <c r="G43" i="4"/>
  <c r="G40" i="4"/>
  <c r="G31" i="4"/>
  <c r="G57" i="4"/>
  <c r="G50" i="4"/>
  <c r="G34" i="4"/>
  <c r="G20" i="4"/>
  <c r="G55" i="4"/>
  <c r="G29" i="4"/>
  <c r="G13" i="4"/>
  <c r="G24" i="4"/>
  <c r="AB11" i="58"/>
  <c r="G28" i="58"/>
  <c r="G25" i="58"/>
  <c r="G60" i="58"/>
  <c r="G58" i="58"/>
  <c r="G41" i="58"/>
  <c r="G20" i="58"/>
  <c r="G38" i="58"/>
  <c r="G37" i="58"/>
  <c r="G13" i="58"/>
  <c r="G15" i="58"/>
  <c r="G26" i="58"/>
  <c r="G51" i="58"/>
  <c r="G3" i="58"/>
  <c r="G45" i="58"/>
  <c r="G35" i="58"/>
  <c r="G55" i="58"/>
  <c r="G53" i="58"/>
  <c r="G7" i="58"/>
  <c r="G16" i="58"/>
  <c r="G18" i="58"/>
  <c r="G9" i="58"/>
  <c r="G52" i="4"/>
  <c r="G60" i="4"/>
  <c r="G11" i="4"/>
  <c r="L9" i="58"/>
  <c r="G44" i="4"/>
  <c r="G33" i="4"/>
  <c r="G61" i="4"/>
  <c r="G45" i="4"/>
  <c r="G36" i="4"/>
  <c r="G25" i="4"/>
  <c r="G15" i="4"/>
  <c r="G9" i="4"/>
  <c r="G46" i="4"/>
  <c r="G4" i="4"/>
  <c r="G7" i="4"/>
  <c r="G53" i="4"/>
  <c r="AA26" i="58"/>
  <c r="G50" i="58"/>
  <c r="G62" i="58"/>
  <c r="G29" i="58"/>
  <c r="G57" i="58"/>
  <c r="G44" i="58"/>
  <c r="G14" i="58"/>
  <c r="G54" i="58"/>
  <c r="G52" i="58"/>
  <c r="G12" i="58"/>
  <c r="G31" i="58"/>
  <c r="G4" i="58"/>
  <c r="G24" i="58"/>
  <c r="G69" i="4"/>
  <c r="G39" i="4"/>
  <c r="G42" i="4"/>
  <c r="G37" i="4"/>
  <c r="G28" i="4"/>
  <c r="G27" i="4"/>
  <c r="G10" i="4"/>
  <c r="G14" i="4"/>
  <c r="G30" i="4"/>
  <c r="G6" i="4"/>
  <c r="AB32" i="4"/>
  <c r="AB43" i="4"/>
  <c r="AB40" i="4"/>
  <c r="AB31" i="4"/>
  <c r="AB57" i="4"/>
  <c r="AB50" i="4"/>
  <c r="AB34" i="4"/>
  <c r="AB20" i="4"/>
  <c r="AB55" i="4"/>
  <c r="AB29" i="4"/>
  <c r="AB13" i="4"/>
  <c r="AB24" i="4"/>
  <c r="AB28" i="58"/>
  <c r="AB25" i="58"/>
  <c r="AB60" i="58"/>
  <c r="AB58" i="58"/>
  <c r="AB41" i="58"/>
  <c r="AB20" i="58"/>
  <c r="AB38" i="58"/>
  <c r="AB37" i="58"/>
  <c r="AB13" i="58"/>
  <c r="AB15" i="58"/>
  <c r="AB26" i="58"/>
  <c r="AB51" i="58"/>
  <c r="AB3" i="58"/>
  <c r="AB44" i="4"/>
  <c r="AB33" i="4"/>
  <c r="AB61" i="4"/>
  <c r="AB45" i="4"/>
  <c r="AB36" i="4"/>
  <c r="AB25" i="4"/>
  <c r="AB15" i="4"/>
  <c r="AB9" i="4"/>
  <c r="AB46" i="4"/>
  <c r="AB53" i="4"/>
  <c r="AB50" i="58"/>
  <c r="AB62" i="58"/>
  <c r="AB29" i="58"/>
  <c r="AB57" i="58"/>
  <c r="AB44" i="58"/>
  <c r="AB14" i="58"/>
  <c r="AB54" i="58"/>
  <c r="AB52" i="58"/>
  <c r="AB12" i="58"/>
  <c r="AB31" i="58"/>
  <c r="AB4" i="58"/>
  <c r="AB24" i="58"/>
  <c r="AB10" i="58"/>
  <c r="AB69" i="4"/>
  <c r="AB39" i="4"/>
  <c r="AB42" i="4"/>
  <c r="AB37" i="4"/>
  <c r="AB28" i="4"/>
  <c r="AB27" i="4"/>
  <c r="AB10" i="4"/>
  <c r="AB14" i="4"/>
  <c r="AB30" i="4"/>
  <c r="AB45" i="58"/>
  <c r="AB19" i="58"/>
  <c r="AB35" i="58"/>
  <c r="AB56" i="58"/>
  <c r="AB55" i="58"/>
  <c r="AB21" i="58"/>
  <c r="AB53" i="58"/>
  <c r="AB42" i="58"/>
  <c r="AB7" i="58"/>
  <c r="AB16" i="58"/>
  <c r="AB46" i="58"/>
  <c r="AB18" i="58"/>
  <c r="AB9" i="58"/>
  <c r="AB52" i="4"/>
  <c r="AB48" i="4"/>
  <c r="AB60" i="4"/>
  <c r="AB59" i="4"/>
  <c r="AB12" i="4"/>
  <c r="AB11" i="4"/>
  <c r="AB18" i="4"/>
  <c r="AB21" i="4"/>
  <c r="AB23" i="4"/>
  <c r="AB41" i="4"/>
  <c r="AB63" i="58"/>
  <c r="AB47" i="58"/>
  <c r="AB61" i="58"/>
  <c r="AB59" i="58"/>
  <c r="AB32" i="58"/>
  <c r="AB30" i="58"/>
  <c r="AB5" i="58"/>
  <c r="AB36" i="58"/>
  <c r="AB40" i="58"/>
  <c r="AB6" i="58"/>
  <c r="AB49" i="58"/>
  <c r="AB22" i="58"/>
  <c r="AA33" i="4"/>
  <c r="AA45" i="4"/>
  <c r="AA15" i="4"/>
  <c r="AA4" i="4"/>
  <c r="AA25" i="58"/>
  <c r="AA41" i="58"/>
  <c r="AA37" i="58"/>
  <c r="AA15" i="58"/>
  <c r="AA3" i="58"/>
  <c r="AA69" i="4"/>
  <c r="AA39" i="4"/>
  <c r="AA42" i="4"/>
  <c r="AA37" i="4"/>
  <c r="AA28" i="4"/>
  <c r="AA27" i="4"/>
  <c r="AA10" i="4"/>
  <c r="AA14" i="4"/>
  <c r="AA30" i="4"/>
  <c r="AA6" i="4"/>
  <c r="AA3" i="4"/>
  <c r="AA50" i="58"/>
  <c r="AA62" i="58"/>
  <c r="AA29" i="58"/>
  <c r="AA57" i="58"/>
  <c r="AA44" i="58"/>
  <c r="AA14" i="58"/>
  <c r="AA54" i="58"/>
  <c r="AA52" i="58"/>
  <c r="AA12" i="58"/>
  <c r="AA31" i="58"/>
  <c r="AA4" i="58"/>
  <c r="AA24" i="58"/>
  <c r="AA10" i="58"/>
  <c r="AA44" i="4"/>
  <c r="AA61" i="4"/>
  <c r="AA36" i="4"/>
  <c r="AA9" i="4"/>
  <c r="AA7" i="4"/>
  <c r="AA28" i="58"/>
  <c r="AA58" i="58"/>
  <c r="AA38" i="58"/>
  <c r="AA13" i="58"/>
  <c r="AA51" i="58"/>
  <c r="AA52" i="4"/>
  <c r="AA48" i="4"/>
  <c r="AA60" i="4"/>
  <c r="AA59" i="4"/>
  <c r="AA12" i="4"/>
  <c r="AA11" i="4"/>
  <c r="AA18" i="4"/>
  <c r="AA21" i="4"/>
  <c r="AA23" i="4"/>
  <c r="AA41" i="4"/>
  <c r="AA5" i="4"/>
  <c r="AA45" i="58"/>
  <c r="AA19" i="58"/>
  <c r="AA35" i="58"/>
  <c r="AA56" i="58"/>
  <c r="AA55" i="58"/>
  <c r="AA21" i="58"/>
  <c r="AA53" i="58"/>
  <c r="AA42" i="58"/>
  <c r="AA7" i="58"/>
  <c r="AA16" i="58"/>
  <c r="AA46" i="58"/>
  <c r="AA18" i="58"/>
  <c r="AA9" i="58"/>
  <c r="AA25" i="4"/>
  <c r="AA46" i="4"/>
  <c r="AA53" i="4"/>
  <c r="AA60" i="58"/>
  <c r="AA20" i="58"/>
  <c r="AA32" i="4"/>
  <c r="AA43" i="4"/>
  <c r="AA40" i="4"/>
  <c r="AA31" i="4"/>
  <c r="AA57" i="4"/>
  <c r="AA50" i="4"/>
  <c r="AA34" i="4"/>
  <c r="AA20" i="4"/>
  <c r="AA55" i="4"/>
  <c r="AA29" i="4"/>
  <c r="AA13" i="4"/>
  <c r="AA24" i="4"/>
  <c r="AA63" i="58"/>
  <c r="AA47" i="58"/>
  <c r="AA61" i="58"/>
  <c r="AA59" i="58"/>
  <c r="AA32" i="58"/>
  <c r="AA30" i="58"/>
  <c r="AA5" i="58"/>
  <c r="AA36" i="58"/>
  <c r="AA40" i="58"/>
  <c r="AA6" i="58"/>
  <c r="AA49" i="58"/>
  <c r="AA22" i="58"/>
  <c r="L44" i="4"/>
  <c r="L33" i="4"/>
  <c r="L61" i="4"/>
  <c r="L45" i="4"/>
  <c r="L36" i="4"/>
  <c r="L25" i="4"/>
  <c r="L15" i="4"/>
  <c r="L9" i="4"/>
  <c r="L46" i="4"/>
  <c r="L4" i="4"/>
  <c r="L7" i="4"/>
  <c r="L53" i="4"/>
  <c r="L63" i="58"/>
  <c r="L47" i="58"/>
  <c r="L61" i="58"/>
  <c r="L59" i="58"/>
  <c r="L32" i="58"/>
  <c r="L30" i="58"/>
  <c r="L5" i="58"/>
  <c r="L36" i="58"/>
  <c r="L40" i="58"/>
  <c r="L6" i="58"/>
  <c r="L49" i="58"/>
  <c r="L22" i="58"/>
  <c r="L11" i="58"/>
  <c r="L69" i="4"/>
  <c r="L39" i="4"/>
  <c r="L42" i="4"/>
  <c r="L37" i="4"/>
  <c r="L28" i="4"/>
  <c r="L27" i="4"/>
  <c r="L10" i="4"/>
  <c r="L14" i="4"/>
  <c r="L30" i="4"/>
  <c r="L6" i="4"/>
  <c r="L3" i="4"/>
  <c r="L28" i="58"/>
  <c r="L25" i="58"/>
  <c r="L60" i="58"/>
  <c r="L58" i="58"/>
  <c r="L41" i="58"/>
  <c r="L20" i="58"/>
  <c r="L38" i="58"/>
  <c r="L37" i="58"/>
  <c r="L13" i="58"/>
  <c r="L15" i="58"/>
  <c r="L26" i="58"/>
  <c r="L51" i="58"/>
  <c r="L3" i="58"/>
  <c r="L57" i="58"/>
  <c r="L44" i="58"/>
  <c r="L14" i="58"/>
  <c r="L54" i="58"/>
  <c r="L52" i="58"/>
  <c r="L12" i="58"/>
  <c r="L31" i="58"/>
  <c r="L4" i="58"/>
  <c r="L24" i="58"/>
  <c r="L10" i="58"/>
  <c r="L52" i="4"/>
  <c r="L48" i="4"/>
  <c r="L60" i="4"/>
  <c r="L59" i="4"/>
  <c r="L12" i="4"/>
  <c r="L11" i="4"/>
  <c r="L18" i="4"/>
  <c r="L21" i="4"/>
  <c r="L23" i="4"/>
  <c r="L41" i="4"/>
  <c r="L5" i="4"/>
  <c r="L50" i="58"/>
  <c r="L62" i="58"/>
  <c r="L32" i="4"/>
  <c r="L43" i="4"/>
  <c r="L40" i="4"/>
  <c r="L31" i="4"/>
  <c r="L57" i="4"/>
  <c r="L50" i="4"/>
  <c r="L34" i="4"/>
  <c r="L20" i="4"/>
  <c r="L55" i="4"/>
  <c r="L29" i="4"/>
  <c r="L13" i="4"/>
  <c r="L24" i="4"/>
  <c r="L45" i="58"/>
  <c r="L19" i="58"/>
  <c r="L35" i="58"/>
  <c r="L56" i="58"/>
  <c r="L55" i="58"/>
  <c r="L21" i="58"/>
  <c r="L53" i="58"/>
  <c r="L42" i="58"/>
  <c r="L7" i="58"/>
  <c r="L16" i="58"/>
  <c r="L46" i="58"/>
  <c r="L18" i="58"/>
  <c r="U4" i="6"/>
  <c r="A10" i="53"/>
  <c r="B10" i="53"/>
  <c r="D10" i="53"/>
  <c r="C10" i="53" s="1"/>
  <c r="D50" i="48"/>
  <c r="C50" i="48" s="1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D51" i="48"/>
  <c r="C51" i="48" s="1"/>
  <c r="D52" i="48"/>
  <c r="C52" i="48" s="1"/>
  <c r="D53" i="48"/>
  <c r="C53" i="48" s="1"/>
  <c r="D54" i="48"/>
  <c r="C54" i="48" s="1"/>
  <c r="D55" i="48"/>
  <c r="C55" i="48" s="1"/>
  <c r="D56" i="48"/>
  <c r="C56" i="48" s="1"/>
  <c r="D57" i="48"/>
  <c r="C57" i="48" s="1"/>
  <c r="D58" i="48"/>
  <c r="C58" i="48" s="1"/>
  <c r="D59" i="48"/>
  <c r="C59" i="48" s="1"/>
  <c r="D60" i="48"/>
  <c r="C60" i="48" s="1"/>
  <c r="D61" i="48"/>
  <c r="C61" i="48" s="1"/>
  <c r="D62" i="48"/>
  <c r="C62" i="48" s="1"/>
  <c r="D63" i="48"/>
  <c r="C63" i="48" s="1"/>
  <c r="C64" i="48"/>
  <c r="V14" i="6"/>
  <c r="V15" i="6"/>
  <c r="B2" i="47"/>
  <c r="D2" i="47"/>
  <c r="C2" i="47" s="1"/>
  <c r="B3" i="47"/>
  <c r="D3" i="47"/>
  <c r="C3" i="47" s="1"/>
  <c r="B4" i="47"/>
  <c r="D4" i="47"/>
  <c r="C4" i="47" s="1"/>
  <c r="B5" i="47"/>
  <c r="D5" i="47"/>
  <c r="C5" i="47" s="1"/>
  <c r="B6" i="47"/>
  <c r="D6" i="47"/>
  <c r="C6" i="47" s="1"/>
  <c r="B7" i="47"/>
  <c r="D7" i="47"/>
  <c r="C7" i="47" s="1"/>
  <c r="B8" i="47"/>
  <c r="D8" i="47"/>
  <c r="C8" i="47" s="1"/>
  <c r="B9" i="47"/>
  <c r="D9" i="47"/>
  <c r="C9" i="47" s="1"/>
  <c r="B10" i="47"/>
  <c r="D10" i="47"/>
  <c r="C10" i="47" s="1"/>
  <c r="B11" i="47"/>
  <c r="D11" i="47"/>
  <c r="C11" i="47" s="1"/>
  <c r="B12" i="47"/>
  <c r="D12" i="47"/>
  <c r="C12" i="47" s="1"/>
  <c r="B13" i="47"/>
  <c r="D13" i="47"/>
  <c r="C13" i="47" s="1"/>
  <c r="B14" i="47"/>
  <c r="D14" i="47"/>
  <c r="C14" i="47" s="1"/>
  <c r="B15" i="47"/>
  <c r="D15" i="47"/>
  <c r="C15" i="47" s="1"/>
  <c r="B16" i="47"/>
  <c r="D16" i="47"/>
  <c r="C16" i="47" s="1"/>
  <c r="B17" i="47"/>
  <c r="D17" i="47"/>
  <c r="C17" i="47" s="1"/>
  <c r="B18" i="47"/>
  <c r="D18" i="47"/>
  <c r="C18" i="47" s="1"/>
  <c r="B19" i="47"/>
  <c r="D19" i="47"/>
  <c r="C19" i="47" s="1"/>
  <c r="B20" i="47"/>
  <c r="D20" i="47"/>
  <c r="C20" i="47" s="1"/>
  <c r="B21" i="47"/>
  <c r="D21" i="47"/>
  <c r="C21" i="47" s="1"/>
  <c r="B22" i="47"/>
  <c r="D22" i="47"/>
  <c r="C22" i="47" s="1"/>
  <c r="B23" i="47"/>
  <c r="D23" i="47"/>
  <c r="C23" i="47" s="1"/>
  <c r="B24" i="47"/>
  <c r="D24" i="47"/>
  <c r="C24" i="47" s="1"/>
  <c r="B25" i="47"/>
  <c r="D25" i="47"/>
  <c r="C25" i="47" s="1"/>
  <c r="B26" i="47"/>
  <c r="D26" i="47"/>
  <c r="C26" i="47" s="1"/>
  <c r="B27" i="47"/>
  <c r="D27" i="47"/>
  <c r="C27" i="47" s="1"/>
  <c r="B2" i="54"/>
  <c r="B3" i="54"/>
  <c r="B4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2" i="53"/>
  <c r="B3" i="53"/>
  <c r="B4" i="53"/>
  <c r="B5" i="53"/>
  <c r="B6" i="53"/>
  <c r="B7" i="53"/>
  <c r="B8" i="53"/>
  <c r="B9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2" i="57"/>
  <c r="B3" i="57"/>
  <c r="B4" i="57"/>
  <c r="B5" i="57"/>
  <c r="B6" i="57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2" i="56"/>
  <c r="B3" i="56"/>
  <c r="B4" i="56"/>
  <c r="B5" i="56"/>
  <c r="B6" i="56"/>
  <c r="B7" i="56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2" i="55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2" i="52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2" i="51"/>
  <c r="B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2" i="50"/>
  <c r="B3" i="50"/>
  <c r="B4" i="50"/>
  <c r="B5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2" i="49"/>
  <c r="B3" i="49"/>
  <c r="B4" i="49"/>
  <c r="B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2" i="48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2" i="46"/>
  <c r="B3" i="46"/>
  <c r="B4" i="46"/>
  <c r="B5" i="46"/>
  <c r="B6" i="46"/>
  <c r="B7" i="46"/>
  <c r="B8" i="46"/>
  <c r="B9" i="46"/>
  <c r="B10" i="46"/>
  <c r="B11" i="46"/>
  <c r="B12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2" i="45"/>
  <c r="B3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2" i="44"/>
  <c r="B3" i="44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2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2" i="42"/>
  <c r="B3" i="42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2" i="41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2" i="18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D49" i="57"/>
  <c r="C49" i="57"/>
  <c r="A49" i="57"/>
  <c r="D48" i="57"/>
  <c r="C48" i="57"/>
  <c r="A48" i="57"/>
  <c r="D47" i="57"/>
  <c r="C47" i="57"/>
  <c r="A47" i="57"/>
  <c r="D46" i="57"/>
  <c r="C46" i="57"/>
  <c r="A46" i="57"/>
  <c r="D45" i="57"/>
  <c r="C45" i="57"/>
  <c r="A45" i="57"/>
  <c r="D44" i="57"/>
  <c r="C44" i="57"/>
  <c r="A44" i="57"/>
  <c r="D43" i="57"/>
  <c r="C43" i="57"/>
  <c r="A43" i="57"/>
  <c r="D42" i="57"/>
  <c r="C42" i="57"/>
  <c r="A42" i="57"/>
  <c r="D41" i="57"/>
  <c r="C41" i="57"/>
  <c r="A41" i="57"/>
  <c r="D40" i="57"/>
  <c r="C40" i="57"/>
  <c r="A40" i="57"/>
  <c r="D39" i="57"/>
  <c r="C39" i="57"/>
  <c r="A39" i="57"/>
  <c r="D38" i="57"/>
  <c r="C38" i="57"/>
  <c r="A38" i="57"/>
  <c r="D37" i="57"/>
  <c r="C37" i="57"/>
  <c r="A37" i="57"/>
  <c r="D36" i="57"/>
  <c r="C36" i="57"/>
  <c r="A36" i="57"/>
  <c r="D35" i="57"/>
  <c r="C35" i="57"/>
  <c r="A35" i="57"/>
  <c r="D34" i="57"/>
  <c r="C34" i="57"/>
  <c r="A34" i="57"/>
  <c r="D33" i="57"/>
  <c r="C33" i="57"/>
  <c r="A33" i="57"/>
  <c r="D32" i="57"/>
  <c r="C32" i="57"/>
  <c r="A32" i="57"/>
  <c r="D31" i="57"/>
  <c r="C31" i="57" s="1"/>
  <c r="A31" i="57"/>
  <c r="D30" i="57"/>
  <c r="C30" i="57" s="1"/>
  <c r="A30" i="57"/>
  <c r="D29" i="57"/>
  <c r="C29" i="57"/>
  <c r="A29" i="57"/>
  <c r="D28" i="57"/>
  <c r="C28" i="57" s="1"/>
  <c r="A28" i="57"/>
  <c r="D27" i="57"/>
  <c r="C27" i="57" s="1"/>
  <c r="A27" i="57"/>
  <c r="D26" i="57"/>
  <c r="C26" i="57"/>
  <c r="A26" i="57"/>
  <c r="D25" i="57"/>
  <c r="C25" i="57" s="1"/>
  <c r="A25" i="57"/>
  <c r="D24" i="57"/>
  <c r="C24" i="57" s="1"/>
  <c r="A24" i="57"/>
  <c r="D23" i="57"/>
  <c r="C23" i="57" s="1"/>
  <c r="A23" i="57"/>
  <c r="D22" i="57"/>
  <c r="C22" i="57" s="1"/>
  <c r="A22" i="57"/>
  <c r="D21" i="57"/>
  <c r="C21" i="57" s="1"/>
  <c r="A21" i="57"/>
  <c r="D20" i="57"/>
  <c r="C20" i="57" s="1"/>
  <c r="A20" i="57"/>
  <c r="D19" i="57"/>
  <c r="C19" i="57" s="1"/>
  <c r="A19" i="57"/>
  <c r="D18" i="57"/>
  <c r="C18" i="57" s="1"/>
  <c r="A18" i="57"/>
  <c r="D17" i="57"/>
  <c r="C17" i="57" s="1"/>
  <c r="A17" i="57"/>
  <c r="D16" i="57"/>
  <c r="C16" i="57" s="1"/>
  <c r="A16" i="57"/>
  <c r="D15" i="57"/>
  <c r="C15" i="57" s="1"/>
  <c r="A15" i="57"/>
  <c r="D14" i="57"/>
  <c r="C14" i="57" s="1"/>
  <c r="A14" i="57"/>
  <c r="D13" i="57"/>
  <c r="C13" i="57" s="1"/>
  <c r="A13" i="57"/>
  <c r="D12" i="57"/>
  <c r="C12" i="57" s="1"/>
  <c r="A12" i="57"/>
  <c r="D11" i="57"/>
  <c r="C11" i="57" s="1"/>
  <c r="A11" i="57"/>
  <c r="D10" i="57"/>
  <c r="C10" i="57" s="1"/>
  <c r="A10" i="57"/>
  <c r="D9" i="57"/>
  <c r="C9" i="57" s="1"/>
  <c r="A9" i="57"/>
  <c r="D8" i="57"/>
  <c r="C8" i="57" s="1"/>
  <c r="A8" i="57"/>
  <c r="D7" i="57"/>
  <c r="C7" i="57" s="1"/>
  <c r="A7" i="57"/>
  <c r="D6" i="57"/>
  <c r="C6" i="57" s="1"/>
  <c r="A6" i="57"/>
  <c r="D5" i="57"/>
  <c r="C5" i="57" s="1"/>
  <c r="A5" i="57"/>
  <c r="D4" i="57"/>
  <c r="C4" i="57" s="1"/>
  <c r="A4" i="57"/>
  <c r="D3" i="57"/>
  <c r="C3" i="57" s="1"/>
  <c r="A3" i="57"/>
  <c r="D2" i="57"/>
  <c r="C2" i="57" s="1"/>
  <c r="A2" i="57"/>
  <c r="D48" i="56"/>
  <c r="C48" i="56"/>
  <c r="A48" i="56"/>
  <c r="D47" i="56"/>
  <c r="C47" i="56"/>
  <c r="A47" i="56"/>
  <c r="D46" i="56"/>
  <c r="C46" i="56"/>
  <c r="A46" i="56"/>
  <c r="D45" i="56"/>
  <c r="C45" i="56"/>
  <c r="A45" i="56"/>
  <c r="D44" i="56"/>
  <c r="C44" i="56"/>
  <c r="A44" i="56"/>
  <c r="D43" i="56"/>
  <c r="C43" i="56"/>
  <c r="A43" i="56"/>
  <c r="D42" i="56"/>
  <c r="C42" i="56"/>
  <c r="A42" i="56"/>
  <c r="D41" i="56"/>
  <c r="C41" i="56"/>
  <c r="A41" i="56"/>
  <c r="D40" i="56"/>
  <c r="C40" i="56"/>
  <c r="A40" i="56"/>
  <c r="D39" i="56"/>
  <c r="C39" i="56"/>
  <c r="A39" i="56"/>
  <c r="D38" i="56"/>
  <c r="C38" i="56"/>
  <c r="A38" i="56"/>
  <c r="D37" i="56"/>
  <c r="C37" i="56"/>
  <c r="A37" i="56"/>
  <c r="D36" i="56"/>
  <c r="C36" i="56"/>
  <c r="A36" i="56"/>
  <c r="D35" i="56"/>
  <c r="C35" i="56"/>
  <c r="A35" i="56"/>
  <c r="D34" i="56"/>
  <c r="C34" i="56"/>
  <c r="A34" i="56"/>
  <c r="D33" i="56"/>
  <c r="C33" i="56"/>
  <c r="A33" i="56"/>
  <c r="D32" i="56"/>
  <c r="C32" i="56"/>
  <c r="A32" i="56"/>
  <c r="D31" i="56"/>
  <c r="C31" i="56"/>
  <c r="A31" i="56"/>
  <c r="D30" i="56"/>
  <c r="C30" i="56"/>
  <c r="A30" i="56"/>
  <c r="D29" i="56"/>
  <c r="C29" i="56"/>
  <c r="A29" i="56"/>
  <c r="D28" i="56"/>
  <c r="C28" i="56"/>
  <c r="A28" i="56"/>
  <c r="D27" i="56"/>
  <c r="C27" i="56"/>
  <c r="A27" i="56"/>
  <c r="D26" i="56"/>
  <c r="C26" i="56"/>
  <c r="A26" i="56"/>
  <c r="D25" i="56"/>
  <c r="C25" i="56"/>
  <c r="A25" i="56"/>
  <c r="D24" i="56"/>
  <c r="C24" i="56"/>
  <c r="A24" i="56"/>
  <c r="D23" i="56"/>
  <c r="C23" i="56"/>
  <c r="A23" i="56"/>
  <c r="D22" i="56"/>
  <c r="C22" i="56"/>
  <c r="A22" i="56"/>
  <c r="D21" i="56"/>
  <c r="C21" i="56"/>
  <c r="A21" i="56"/>
  <c r="D20" i="56"/>
  <c r="C20" i="56"/>
  <c r="A20" i="56"/>
  <c r="D19" i="56"/>
  <c r="C19" i="56" s="1"/>
  <c r="A19" i="56"/>
  <c r="D18" i="56"/>
  <c r="C18" i="56" s="1"/>
  <c r="A18" i="56"/>
  <c r="D17" i="56"/>
  <c r="C17" i="56" s="1"/>
  <c r="A17" i="56"/>
  <c r="D16" i="56"/>
  <c r="C16" i="56"/>
  <c r="A16" i="56"/>
  <c r="D15" i="56"/>
  <c r="C15" i="56" s="1"/>
  <c r="A15" i="56"/>
  <c r="D14" i="56"/>
  <c r="C14" i="56" s="1"/>
  <c r="A14" i="56"/>
  <c r="D13" i="56"/>
  <c r="C13" i="56" s="1"/>
  <c r="A13" i="56"/>
  <c r="D12" i="56"/>
  <c r="C12" i="56" s="1"/>
  <c r="A12" i="56"/>
  <c r="D11" i="56"/>
  <c r="C11" i="56" s="1"/>
  <c r="A11" i="56"/>
  <c r="D10" i="56"/>
  <c r="C10" i="56" s="1"/>
  <c r="A10" i="56"/>
  <c r="D9" i="56"/>
  <c r="C9" i="56" s="1"/>
  <c r="A9" i="56"/>
  <c r="D8" i="56"/>
  <c r="C8" i="56" s="1"/>
  <c r="A8" i="56"/>
  <c r="D7" i="56"/>
  <c r="C7" i="56" s="1"/>
  <c r="A7" i="56"/>
  <c r="D6" i="56"/>
  <c r="C6" i="56" s="1"/>
  <c r="A6" i="56"/>
  <c r="D5" i="56"/>
  <c r="C5" i="56" s="1"/>
  <c r="A5" i="56"/>
  <c r="D4" i="56"/>
  <c r="C4" i="56" s="1"/>
  <c r="A4" i="56"/>
  <c r="D3" i="56"/>
  <c r="C3" i="56" s="1"/>
  <c r="A3" i="56"/>
  <c r="D2" i="56"/>
  <c r="C2" i="56" s="1"/>
  <c r="A2" i="56"/>
  <c r="D48" i="55"/>
  <c r="C48" i="55"/>
  <c r="A48" i="55"/>
  <c r="D47" i="55"/>
  <c r="C47" i="55"/>
  <c r="A47" i="55"/>
  <c r="D46" i="55"/>
  <c r="C46" i="55"/>
  <c r="A46" i="55"/>
  <c r="D45" i="55"/>
  <c r="C45" i="55"/>
  <c r="A45" i="55"/>
  <c r="D44" i="55"/>
  <c r="C44" i="55"/>
  <c r="A44" i="55"/>
  <c r="D43" i="55"/>
  <c r="C43" i="55"/>
  <c r="A43" i="55"/>
  <c r="D42" i="55"/>
  <c r="C42" i="55"/>
  <c r="A42" i="55"/>
  <c r="D41" i="55"/>
  <c r="C41" i="55"/>
  <c r="A41" i="55"/>
  <c r="D40" i="55"/>
  <c r="C40" i="55"/>
  <c r="A40" i="55"/>
  <c r="D39" i="55"/>
  <c r="C39" i="55"/>
  <c r="A39" i="55"/>
  <c r="D38" i="55"/>
  <c r="C38" i="55"/>
  <c r="A38" i="55"/>
  <c r="D37" i="55"/>
  <c r="C37" i="55"/>
  <c r="A37" i="55"/>
  <c r="D36" i="55"/>
  <c r="C36" i="55"/>
  <c r="A36" i="55"/>
  <c r="D35" i="55"/>
  <c r="C35" i="55"/>
  <c r="A35" i="55"/>
  <c r="D34" i="55"/>
  <c r="C34" i="55"/>
  <c r="A34" i="55"/>
  <c r="D33" i="55"/>
  <c r="C33" i="55"/>
  <c r="A33" i="55"/>
  <c r="D32" i="55"/>
  <c r="C32" i="55"/>
  <c r="A32" i="55"/>
  <c r="D31" i="55"/>
  <c r="C31" i="55"/>
  <c r="A31" i="55"/>
  <c r="D30" i="55"/>
  <c r="C30" i="55"/>
  <c r="A30" i="55"/>
  <c r="D29" i="55"/>
  <c r="C29" i="55"/>
  <c r="A29" i="55"/>
  <c r="D28" i="55"/>
  <c r="C28" i="55"/>
  <c r="A28" i="55"/>
  <c r="D27" i="55"/>
  <c r="C27" i="55"/>
  <c r="A27" i="55"/>
  <c r="D26" i="55"/>
  <c r="C26" i="55"/>
  <c r="A26" i="55"/>
  <c r="D25" i="55"/>
  <c r="C25" i="55" s="1"/>
  <c r="A25" i="55"/>
  <c r="D24" i="55"/>
  <c r="C24" i="55" s="1"/>
  <c r="A24" i="55"/>
  <c r="D23" i="55"/>
  <c r="C23" i="55" s="1"/>
  <c r="A23" i="55"/>
  <c r="D22" i="55"/>
  <c r="C22" i="55" s="1"/>
  <c r="A22" i="55"/>
  <c r="D21" i="55"/>
  <c r="C21" i="55" s="1"/>
  <c r="A21" i="55"/>
  <c r="D20" i="55"/>
  <c r="C20" i="55" s="1"/>
  <c r="A20" i="55"/>
  <c r="D19" i="55"/>
  <c r="C19" i="55" s="1"/>
  <c r="A19" i="55"/>
  <c r="D18" i="55"/>
  <c r="C18" i="55" s="1"/>
  <c r="A18" i="55"/>
  <c r="D17" i="55"/>
  <c r="C17" i="55" s="1"/>
  <c r="A17" i="55"/>
  <c r="D16" i="55"/>
  <c r="C16" i="55" s="1"/>
  <c r="A16" i="55"/>
  <c r="D15" i="55"/>
  <c r="C15" i="55" s="1"/>
  <c r="A15" i="55"/>
  <c r="D14" i="55"/>
  <c r="C14" i="55" s="1"/>
  <c r="A14" i="55"/>
  <c r="D13" i="55"/>
  <c r="C13" i="55" s="1"/>
  <c r="A13" i="55"/>
  <c r="D12" i="55"/>
  <c r="C12" i="55" s="1"/>
  <c r="A12" i="55"/>
  <c r="D11" i="55"/>
  <c r="C11" i="55" s="1"/>
  <c r="A11" i="55"/>
  <c r="D10" i="55"/>
  <c r="C10" i="55" s="1"/>
  <c r="A10" i="55"/>
  <c r="D9" i="55"/>
  <c r="C9" i="55" s="1"/>
  <c r="A9" i="55"/>
  <c r="D8" i="55"/>
  <c r="C8" i="55" s="1"/>
  <c r="A8" i="55"/>
  <c r="D7" i="55"/>
  <c r="C7" i="55" s="1"/>
  <c r="A7" i="55"/>
  <c r="D6" i="55"/>
  <c r="C6" i="55" s="1"/>
  <c r="A6" i="55"/>
  <c r="D5" i="55"/>
  <c r="C5" i="55" s="1"/>
  <c r="A5" i="55"/>
  <c r="D4" i="55"/>
  <c r="C4" i="55" s="1"/>
  <c r="A4" i="55"/>
  <c r="D3" i="55"/>
  <c r="C3" i="55" s="1"/>
  <c r="A3" i="55"/>
  <c r="D2" i="55"/>
  <c r="C2" i="55" s="1"/>
  <c r="A2" i="55"/>
  <c r="D50" i="54"/>
  <c r="C50" i="54"/>
  <c r="A50" i="54"/>
  <c r="D49" i="54"/>
  <c r="C49" i="54"/>
  <c r="A49" i="54"/>
  <c r="D48" i="54"/>
  <c r="C48" i="54"/>
  <c r="A48" i="54"/>
  <c r="D47" i="54"/>
  <c r="C47" i="54"/>
  <c r="A47" i="54"/>
  <c r="D46" i="54"/>
  <c r="C46" i="54"/>
  <c r="A46" i="54"/>
  <c r="D45" i="54"/>
  <c r="C45" i="54"/>
  <c r="A45" i="54"/>
  <c r="D44" i="54"/>
  <c r="C44" i="54"/>
  <c r="A44" i="54"/>
  <c r="D43" i="54"/>
  <c r="C43" i="54"/>
  <c r="A43" i="54"/>
  <c r="D42" i="54"/>
  <c r="C42" i="54"/>
  <c r="A42" i="54"/>
  <c r="D41" i="54"/>
  <c r="C41" i="54"/>
  <c r="A41" i="54"/>
  <c r="D40" i="54"/>
  <c r="C40" i="54"/>
  <c r="A40" i="54"/>
  <c r="D39" i="54"/>
  <c r="C39" i="54"/>
  <c r="A39" i="54"/>
  <c r="D38" i="54"/>
  <c r="C38" i="54"/>
  <c r="A38" i="54"/>
  <c r="D37" i="54"/>
  <c r="C37" i="54"/>
  <c r="A37" i="54"/>
  <c r="D36" i="54"/>
  <c r="C36" i="54"/>
  <c r="A36" i="54"/>
  <c r="D35" i="54"/>
  <c r="C35" i="54"/>
  <c r="A35" i="54"/>
  <c r="D34" i="54"/>
  <c r="C34" i="54" s="1"/>
  <c r="A34" i="54"/>
  <c r="D33" i="54"/>
  <c r="C33" i="54" s="1"/>
  <c r="A33" i="54"/>
  <c r="D32" i="54"/>
  <c r="C32" i="54" s="1"/>
  <c r="A32" i="54"/>
  <c r="D31" i="54"/>
  <c r="C31" i="54" s="1"/>
  <c r="A31" i="54"/>
  <c r="D30" i="54"/>
  <c r="C30" i="54" s="1"/>
  <c r="A30" i="54"/>
  <c r="D29" i="54"/>
  <c r="C29" i="54" s="1"/>
  <c r="A29" i="54"/>
  <c r="D28" i="54"/>
  <c r="C28" i="54" s="1"/>
  <c r="A28" i="54"/>
  <c r="D27" i="54"/>
  <c r="C27" i="54" s="1"/>
  <c r="A27" i="54"/>
  <c r="D26" i="54"/>
  <c r="C26" i="54" s="1"/>
  <c r="A26" i="54"/>
  <c r="D25" i="54"/>
  <c r="C25" i="54" s="1"/>
  <c r="A25" i="54"/>
  <c r="D24" i="54"/>
  <c r="C24" i="54" s="1"/>
  <c r="A24" i="54"/>
  <c r="D23" i="54"/>
  <c r="C23" i="54" s="1"/>
  <c r="A23" i="54"/>
  <c r="D22" i="54"/>
  <c r="C22" i="54" s="1"/>
  <c r="A22" i="54"/>
  <c r="D21" i="54"/>
  <c r="C21" i="54" s="1"/>
  <c r="A21" i="54"/>
  <c r="D20" i="54"/>
  <c r="C20" i="54" s="1"/>
  <c r="A20" i="54"/>
  <c r="D19" i="54"/>
  <c r="C19" i="54" s="1"/>
  <c r="A19" i="54"/>
  <c r="D18" i="54"/>
  <c r="C18" i="54" s="1"/>
  <c r="A18" i="54"/>
  <c r="D17" i="54"/>
  <c r="C17" i="54" s="1"/>
  <c r="A17" i="54"/>
  <c r="D16" i="54"/>
  <c r="C16" i="54" s="1"/>
  <c r="A16" i="54"/>
  <c r="D15" i="54"/>
  <c r="C15" i="54" s="1"/>
  <c r="A15" i="54"/>
  <c r="D14" i="54"/>
  <c r="C14" i="54" s="1"/>
  <c r="A14" i="54"/>
  <c r="D13" i="54"/>
  <c r="C13" i="54" s="1"/>
  <c r="A13" i="54"/>
  <c r="D12" i="54"/>
  <c r="C12" i="54" s="1"/>
  <c r="A12" i="54"/>
  <c r="D11" i="54"/>
  <c r="C11" i="54" s="1"/>
  <c r="A11" i="54"/>
  <c r="D10" i="54"/>
  <c r="C10" i="54" s="1"/>
  <c r="A10" i="54"/>
  <c r="D9" i="54"/>
  <c r="C9" i="54" s="1"/>
  <c r="A9" i="54"/>
  <c r="D8" i="54"/>
  <c r="C8" i="54" s="1"/>
  <c r="A8" i="54"/>
  <c r="D7" i="54"/>
  <c r="C7" i="54" s="1"/>
  <c r="A7" i="54"/>
  <c r="D6" i="54"/>
  <c r="C6" i="54" s="1"/>
  <c r="A6" i="54"/>
  <c r="D5" i="54"/>
  <c r="C5" i="54" s="1"/>
  <c r="A5" i="54"/>
  <c r="D4" i="54"/>
  <c r="C4" i="54" s="1"/>
  <c r="A4" i="54"/>
  <c r="D3" i="54"/>
  <c r="C3" i="54" s="1"/>
  <c r="A3" i="54"/>
  <c r="D2" i="54"/>
  <c r="C2" i="54" s="1"/>
  <c r="A2" i="54"/>
  <c r="D46" i="53"/>
  <c r="C46" i="53"/>
  <c r="A46" i="53"/>
  <c r="D45" i="53"/>
  <c r="C45" i="53"/>
  <c r="A45" i="53"/>
  <c r="D44" i="53"/>
  <c r="C44" i="53"/>
  <c r="A44" i="53"/>
  <c r="D43" i="53"/>
  <c r="C43" i="53"/>
  <c r="A43" i="53"/>
  <c r="D42" i="53"/>
  <c r="C42" i="53"/>
  <c r="A42" i="53"/>
  <c r="D41" i="53"/>
  <c r="C41" i="53"/>
  <c r="A41" i="53"/>
  <c r="D40" i="53"/>
  <c r="C40" i="53"/>
  <c r="A40" i="53"/>
  <c r="D39" i="53"/>
  <c r="C39" i="53"/>
  <c r="A39" i="53"/>
  <c r="D38" i="53"/>
  <c r="C38" i="53"/>
  <c r="A38" i="53"/>
  <c r="D37" i="53"/>
  <c r="C37" i="53"/>
  <c r="A37" i="53"/>
  <c r="D36" i="53"/>
  <c r="C36" i="53"/>
  <c r="A36" i="53"/>
  <c r="D35" i="53"/>
  <c r="C35" i="53"/>
  <c r="A35" i="53"/>
  <c r="D34" i="53"/>
  <c r="C34" i="53"/>
  <c r="A34" i="53"/>
  <c r="D33" i="53"/>
  <c r="C33" i="53"/>
  <c r="A33" i="53"/>
  <c r="D32" i="53"/>
  <c r="C32" i="53"/>
  <c r="A32" i="53"/>
  <c r="D31" i="53"/>
  <c r="C31" i="53"/>
  <c r="A31" i="53"/>
  <c r="D30" i="53"/>
  <c r="C30" i="53"/>
  <c r="A30" i="53"/>
  <c r="D29" i="53"/>
  <c r="C29" i="53" s="1"/>
  <c r="A29" i="53"/>
  <c r="D28" i="53"/>
  <c r="C28" i="53" s="1"/>
  <c r="A28" i="53"/>
  <c r="D27" i="53"/>
  <c r="C27" i="53" s="1"/>
  <c r="A27" i="53"/>
  <c r="D26" i="53"/>
  <c r="C26" i="53" s="1"/>
  <c r="A26" i="53"/>
  <c r="D25" i="53"/>
  <c r="C25" i="53" s="1"/>
  <c r="A25" i="53"/>
  <c r="D24" i="53"/>
  <c r="C24" i="53" s="1"/>
  <c r="A24" i="53"/>
  <c r="D23" i="53"/>
  <c r="C23" i="53" s="1"/>
  <c r="A23" i="53"/>
  <c r="D22" i="53"/>
  <c r="C22" i="53" s="1"/>
  <c r="A22" i="53"/>
  <c r="D21" i="53"/>
  <c r="C21" i="53" s="1"/>
  <c r="A21" i="53"/>
  <c r="D20" i="53"/>
  <c r="C20" i="53" s="1"/>
  <c r="A20" i="53"/>
  <c r="D19" i="53"/>
  <c r="C19" i="53" s="1"/>
  <c r="A19" i="53"/>
  <c r="D18" i="53"/>
  <c r="C18" i="53" s="1"/>
  <c r="A18" i="53"/>
  <c r="D17" i="53"/>
  <c r="C17" i="53" s="1"/>
  <c r="A17" i="53"/>
  <c r="D16" i="53"/>
  <c r="C16" i="53" s="1"/>
  <c r="A16" i="53"/>
  <c r="D15" i="53"/>
  <c r="C15" i="53" s="1"/>
  <c r="A15" i="53"/>
  <c r="D14" i="53"/>
  <c r="C14" i="53" s="1"/>
  <c r="A14" i="53"/>
  <c r="D13" i="53"/>
  <c r="C13" i="53" s="1"/>
  <c r="A13" i="53"/>
  <c r="D12" i="53"/>
  <c r="C12" i="53" s="1"/>
  <c r="A12" i="53"/>
  <c r="D11" i="53"/>
  <c r="C11" i="53" s="1"/>
  <c r="A11" i="53"/>
  <c r="D9" i="53"/>
  <c r="C9" i="53" s="1"/>
  <c r="A9" i="53"/>
  <c r="D8" i="53"/>
  <c r="C8" i="53" s="1"/>
  <c r="A8" i="53"/>
  <c r="D7" i="53"/>
  <c r="C7" i="53" s="1"/>
  <c r="A7" i="53"/>
  <c r="D6" i="53"/>
  <c r="C6" i="53" s="1"/>
  <c r="A6" i="53"/>
  <c r="D5" i="53"/>
  <c r="C5" i="53" s="1"/>
  <c r="A5" i="53"/>
  <c r="D4" i="53"/>
  <c r="C4" i="53" s="1"/>
  <c r="A4" i="53"/>
  <c r="D3" i="53"/>
  <c r="C3" i="53" s="1"/>
  <c r="A3" i="53"/>
  <c r="D2" i="53"/>
  <c r="C2" i="53" s="1"/>
  <c r="A2" i="53"/>
  <c r="D48" i="52"/>
  <c r="C48" i="52"/>
  <c r="A48" i="52"/>
  <c r="D47" i="52"/>
  <c r="C47" i="52"/>
  <c r="A47" i="52"/>
  <c r="D46" i="52"/>
  <c r="C46" i="52"/>
  <c r="A46" i="52"/>
  <c r="D45" i="52"/>
  <c r="C45" i="52"/>
  <c r="A45" i="52"/>
  <c r="D44" i="52"/>
  <c r="C44" i="52"/>
  <c r="A44" i="52"/>
  <c r="D43" i="52"/>
  <c r="C43" i="52"/>
  <c r="A43" i="52"/>
  <c r="D42" i="52"/>
  <c r="C42" i="52"/>
  <c r="A42" i="52"/>
  <c r="D41" i="52"/>
  <c r="C41" i="52"/>
  <c r="A41" i="52"/>
  <c r="D40" i="52"/>
  <c r="C40" i="52"/>
  <c r="A40" i="52"/>
  <c r="D39" i="52"/>
  <c r="C39" i="52"/>
  <c r="A39" i="52"/>
  <c r="D38" i="52"/>
  <c r="C38" i="52"/>
  <c r="A38" i="52"/>
  <c r="D37" i="52"/>
  <c r="C37" i="52"/>
  <c r="A37" i="52"/>
  <c r="D36" i="52"/>
  <c r="C36" i="52"/>
  <c r="A36" i="52"/>
  <c r="D35" i="52"/>
  <c r="C35" i="52"/>
  <c r="A35" i="52"/>
  <c r="D34" i="52"/>
  <c r="C34" i="52"/>
  <c r="A34" i="52"/>
  <c r="D33" i="52"/>
  <c r="C33" i="52"/>
  <c r="A33" i="52"/>
  <c r="D32" i="52"/>
  <c r="C32" i="52"/>
  <c r="A32" i="52"/>
  <c r="D31" i="52"/>
  <c r="C31" i="52"/>
  <c r="A31" i="52"/>
  <c r="D30" i="52"/>
  <c r="C30" i="52"/>
  <c r="A30" i="52"/>
  <c r="D29" i="52"/>
  <c r="C29" i="52"/>
  <c r="A29" i="52"/>
  <c r="D28" i="52"/>
  <c r="C28" i="52"/>
  <c r="A28" i="52"/>
  <c r="D27" i="52"/>
  <c r="C27" i="52" s="1"/>
  <c r="A27" i="52"/>
  <c r="D26" i="52"/>
  <c r="C26" i="52" s="1"/>
  <c r="A26" i="52"/>
  <c r="D25" i="52"/>
  <c r="C25" i="52" s="1"/>
  <c r="A25" i="52"/>
  <c r="D24" i="52"/>
  <c r="C24" i="52" s="1"/>
  <c r="A24" i="52"/>
  <c r="D23" i="52"/>
  <c r="C23" i="52" s="1"/>
  <c r="A23" i="52"/>
  <c r="D22" i="52"/>
  <c r="C22" i="52" s="1"/>
  <c r="A22" i="52"/>
  <c r="D21" i="52"/>
  <c r="C21" i="52" s="1"/>
  <c r="A21" i="52"/>
  <c r="D20" i="52"/>
  <c r="C20" i="52" s="1"/>
  <c r="A20" i="52"/>
  <c r="D19" i="52"/>
  <c r="C19" i="52" s="1"/>
  <c r="A19" i="52"/>
  <c r="D18" i="52"/>
  <c r="C18" i="52" s="1"/>
  <c r="A18" i="52"/>
  <c r="D17" i="52"/>
  <c r="C17" i="52" s="1"/>
  <c r="A17" i="52"/>
  <c r="D16" i="52"/>
  <c r="C16" i="52" s="1"/>
  <c r="A16" i="52"/>
  <c r="D15" i="52"/>
  <c r="C15" i="52" s="1"/>
  <c r="A15" i="52"/>
  <c r="D14" i="52"/>
  <c r="C14" i="52" s="1"/>
  <c r="A14" i="52"/>
  <c r="D13" i="52"/>
  <c r="C13" i="52" s="1"/>
  <c r="A13" i="52"/>
  <c r="D12" i="52"/>
  <c r="C12" i="52" s="1"/>
  <c r="A12" i="52"/>
  <c r="D11" i="52"/>
  <c r="C11" i="52" s="1"/>
  <c r="A11" i="52"/>
  <c r="D10" i="52"/>
  <c r="C10" i="52" s="1"/>
  <c r="A10" i="52"/>
  <c r="D9" i="52"/>
  <c r="C9" i="52" s="1"/>
  <c r="A9" i="52"/>
  <c r="D8" i="52"/>
  <c r="C8" i="52" s="1"/>
  <c r="A8" i="52"/>
  <c r="D7" i="52"/>
  <c r="C7" i="52" s="1"/>
  <c r="A7" i="52"/>
  <c r="D6" i="52"/>
  <c r="C6" i="52" s="1"/>
  <c r="A6" i="52"/>
  <c r="D5" i="52"/>
  <c r="C5" i="52" s="1"/>
  <c r="A5" i="52"/>
  <c r="D4" i="52"/>
  <c r="C4" i="52" s="1"/>
  <c r="A4" i="52"/>
  <c r="D3" i="52"/>
  <c r="C3" i="52" s="1"/>
  <c r="A3" i="52"/>
  <c r="D2" i="52"/>
  <c r="C2" i="52" s="1"/>
  <c r="A2" i="52"/>
  <c r="D47" i="51"/>
  <c r="C47" i="51"/>
  <c r="A47" i="51"/>
  <c r="D46" i="51"/>
  <c r="C46" i="51"/>
  <c r="A46" i="51"/>
  <c r="D45" i="51"/>
  <c r="C45" i="51"/>
  <c r="A45" i="51"/>
  <c r="D44" i="51"/>
  <c r="C44" i="51"/>
  <c r="A44" i="51"/>
  <c r="D43" i="51"/>
  <c r="C43" i="51"/>
  <c r="A43" i="51"/>
  <c r="D42" i="51"/>
  <c r="C42" i="51"/>
  <c r="A42" i="51"/>
  <c r="D41" i="51"/>
  <c r="C41" i="51"/>
  <c r="A41" i="51"/>
  <c r="D40" i="51"/>
  <c r="C40" i="51"/>
  <c r="A40" i="51"/>
  <c r="D39" i="51"/>
  <c r="C39" i="51"/>
  <c r="A39" i="51"/>
  <c r="D38" i="51"/>
  <c r="C38" i="51"/>
  <c r="A38" i="51"/>
  <c r="D37" i="51"/>
  <c r="C37" i="51"/>
  <c r="A37" i="51"/>
  <c r="D36" i="51"/>
  <c r="C36" i="51"/>
  <c r="A36" i="51"/>
  <c r="D35" i="51"/>
  <c r="C35" i="51"/>
  <c r="A35" i="51"/>
  <c r="D34" i="51"/>
  <c r="C34" i="51"/>
  <c r="A34" i="51"/>
  <c r="D33" i="51"/>
  <c r="C33" i="51"/>
  <c r="A33" i="51"/>
  <c r="D32" i="51"/>
  <c r="C32" i="51"/>
  <c r="A32" i="51"/>
  <c r="D31" i="51"/>
  <c r="C31" i="51"/>
  <c r="A31" i="51"/>
  <c r="D30" i="51"/>
  <c r="C30" i="51"/>
  <c r="A30" i="51"/>
  <c r="D29" i="51"/>
  <c r="C29" i="51"/>
  <c r="A29" i="51"/>
  <c r="D28" i="51"/>
  <c r="C28" i="51"/>
  <c r="A28" i="51"/>
  <c r="D27" i="51"/>
  <c r="C27" i="51"/>
  <c r="A27" i="51"/>
  <c r="D26" i="51"/>
  <c r="C26" i="51"/>
  <c r="A26" i="51"/>
  <c r="D25" i="51"/>
  <c r="C25" i="51"/>
  <c r="A25" i="51"/>
  <c r="D24" i="51"/>
  <c r="C24" i="51"/>
  <c r="A24" i="51"/>
  <c r="D23" i="51"/>
  <c r="C23" i="51" s="1"/>
  <c r="A23" i="51"/>
  <c r="D22" i="51"/>
  <c r="C22" i="51" s="1"/>
  <c r="A22" i="51"/>
  <c r="D21" i="51"/>
  <c r="C21" i="51" s="1"/>
  <c r="A21" i="51"/>
  <c r="D20" i="51"/>
  <c r="C20" i="51" s="1"/>
  <c r="A20" i="51"/>
  <c r="D19" i="51"/>
  <c r="C19" i="51" s="1"/>
  <c r="A19" i="51"/>
  <c r="D18" i="51"/>
  <c r="C18" i="51" s="1"/>
  <c r="A18" i="51"/>
  <c r="D17" i="51"/>
  <c r="C17" i="51" s="1"/>
  <c r="A17" i="51"/>
  <c r="D16" i="51"/>
  <c r="C16" i="51" s="1"/>
  <c r="A16" i="51"/>
  <c r="D15" i="51"/>
  <c r="C15" i="51" s="1"/>
  <c r="A15" i="51"/>
  <c r="D14" i="51"/>
  <c r="C14" i="51" s="1"/>
  <c r="A14" i="51"/>
  <c r="D13" i="51"/>
  <c r="C13" i="51" s="1"/>
  <c r="A13" i="51"/>
  <c r="D12" i="51"/>
  <c r="C12" i="51" s="1"/>
  <c r="A12" i="51"/>
  <c r="D11" i="51"/>
  <c r="C11" i="51" s="1"/>
  <c r="A11" i="51"/>
  <c r="D10" i="51"/>
  <c r="C10" i="51" s="1"/>
  <c r="A10" i="51"/>
  <c r="D9" i="51"/>
  <c r="C9" i="51" s="1"/>
  <c r="A9" i="51"/>
  <c r="D8" i="51"/>
  <c r="C8" i="51" s="1"/>
  <c r="A8" i="51"/>
  <c r="D7" i="51"/>
  <c r="C7" i="51" s="1"/>
  <c r="A7" i="51"/>
  <c r="D6" i="51"/>
  <c r="C6" i="51" s="1"/>
  <c r="A6" i="51"/>
  <c r="D5" i="51"/>
  <c r="C5" i="51" s="1"/>
  <c r="A5" i="51"/>
  <c r="D4" i="51"/>
  <c r="C4" i="51" s="1"/>
  <c r="A4" i="51"/>
  <c r="D3" i="51"/>
  <c r="C3" i="51" s="1"/>
  <c r="A3" i="51"/>
  <c r="D2" i="51"/>
  <c r="C2" i="51" s="1"/>
  <c r="A2" i="51"/>
  <c r="D48" i="50"/>
  <c r="C48" i="50"/>
  <c r="A48" i="50"/>
  <c r="D47" i="50"/>
  <c r="C47" i="50"/>
  <c r="A47" i="50"/>
  <c r="D46" i="50"/>
  <c r="C46" i="50"/>
  <c r="A46" i="50"/>
  <c r="D45" i="50"/>
  <c r="C45" i="50"/>
  <c r="A45" i="50"/>
  <c r="D44" i="50"/>
  <c r="C44" i="50"/>
  <c r="A44" i="50"/>
  <c r="D43" i="50"/>
  <c r="C43" i="50"/>
  <c r="A43" i="50"/>
  <c r="D42" i="50"/>
  <c r="C42" i="50"/>
  <c r="A42" i="50"/>
  <c r="D41" i="50"/>
  <c r="C41" i="50"/>
  <c r="A41" i="50"/>
  <c r="D40" i="50"/>
  <c r="C40" i="50"/>
  <c r="A40" i="50"/>
  <c r="D39" i="50"/>
  <c r="C39" i="50"/>
  <c r="A39" i="50"/>
  <c r="D38" i="50"/>
  <c r="C38" i="50"/>
  <c r="A38" i="50"/>
  <c r="D37" i="50"/>
  <c r="C37" i="50"/>
  <c r="A37" i="50"/>
  <c r="D36" i="50"/>
  <c r="C36" i="50"/>
  <c r="A36" i="50"/>
  <c r="D35" i="50"/>
  <c r="C35" i="50"/>
  <c r="A35" i="50"/>
  <c r="D34" i="50"/>
  <c r="C34" i="50" s="1"/>
  <c r="A34" i="50"/>
  <c r="D33" i="50"/>
  <c r="C33" i="50" s="1"/>
  <c r="A33" i="50"/>
  <c r="D32" i="50"/>
  <c r="C32" i="50" s="1"/>
  <c r="A32" i="50"/>
  <c r="D31" i="50"/>
  <c r="C31" i="50" s="1"/>
  <c r="A31" i="50"/>
  <c r="D30" i="50"/>
  <c r="C30" i="50" s="1"/>
  <c r="A30" i="50"/>
  <c r="D29" i="50"/>
  <c r="C29" i="50" s="1"/>
  <c r="A29" i="50"/>
  <c r="D28" i="50"/>
  <c r="C28" i="50" s="1"/>
  <c r="A28" i="50"/>
  <c r="D27" i="50"/>
  <c r="C27" i="50" s="1"/>
  <c r="A27" i="50"/>
  <c r="D26" i="50"/>
  <c r="C26" i="50" s="1"/>
  <c r="A26" i="50"/>
  <c r="D25" i="50"/>
  <c r="C25" i="50" s="1"/>
  <c r="A25" i="50"/>
  <c r="D24" i="50"/>
  <c r="C24" i="50" s="1"/>
  <c r="A24" i="50"/>
  <c r="D23" i="50"/>
  <c r="C23" i="50" s="1"/>
  <c r="A23" i="50"/>
  <c r="D22" i="50"/>
  <c r="C22" i="50" s="1"/>
  <c r="A22" i="50"/>
  <c r="D21" i="50"/>
  <c r="C21" i="50" s="1"/>
  <c r="A21" i="50"/>
  <c r="D20" i="50"/>
  <c r="C20" i="50" s="1"/>
  <c r="A20" i="50"/>
  <c r="D19" i="50"/>
  <c r="C19" i="50" s="1"/>
  <c r="A19" i="50"/>
  <c r="D18" i="50"/>
  <c r="C18" i="50" s="1"/>
  <c r="A18" i="50"/>
  <c r="D17" i="50"/>
  <c r="C17" i="50" s="1"/>
  <c r="A17" i="50"/>
  <c r="D16" i="50"/>
  <c r="C16" i="50" s="1"/>
  <c r="A16" i="50"/>
  <c r="D15" i="50"/>
  <c r="C15" i="50" s="1"/>
  <c r="A15" i="50"/>
  <c r="D14" i="50"/>
  <c r="C14" i="50" s="1"/>
  <c r="A14" i="50"/>
  <c r="D13" i="50"/>
  <c r="C13" i="50" s="1"/>
  <c r="A13" i="50"/>
  <c r="D12" i="50"/>
  <c r="C12" i="50" s="1"/>
  <c r="A12" i="50"/>
  <c r="D11" i="50"/>
  <c r="C11" i="50" s="1"/>
  <c r="A11" i="50"/>
  <c r="D10" i="50"/>
  <c r="C10" i="50" s="1"/>
  <c r="A10" i="50"/>
  <c r="D9" i="50"/>
  <c r="C9" i="50" s="1"/>
  <c r="A9" i="50"/>
  <c r="D8" i="50"/>
  <c r="C8" i="50" s="1"/>
  <c r="A8" i="50"/>
  <c r="D7" i="50"/>
  <c r="C7" i="50" s="1"/>
  <c r="A7" i="50"/>
  <c r="D6" i="50"/>
  <c r="C6" i="50" s="1"/>
  <c r="A6" i="50"/>
  <c r="D5" i="50"/>
  <c r="C5" i="50" s="1"/>
  <c r="A5" i="50"/>
  <c r="D4" i="50"/>
  <c r="C4" i="50" s="1"/>
  <c r="A4" i="50"/>
  <c r="D3" i="50"/>
  <c r="C3" i="50" s="1"/>
  <c r="A3" i="50"/>
  <c r="D2" i="50"/>
  <c r="C2" i="50" s="1"/>
  <c r="A2" i="50"/>
  <c r="D48" i="49"/>
  <c r="C48" i="49"/>
  <c r="A48" i="49"/>
  <c r="D47" i="49"/>
  <c r="C47" i="49"/>
  <c r="A47" i="49"/>
  <c r="D46" i="49"/>
  <c r="C46" i="49"/>
  <c r="A46" i="49"/>
  <c r="D45" i="49"/>
  <c r="C45" i="49"/>
  <c r="A45" i="49"/>
  <c r="D44" i="49"/>
  <c r="C44" i="49"/>
  <c r="A44" i="49"/>
  <c r="D43" i="49"/>
  <c r="C43" i="49"/>
  <c r="A43" i="49"/>
  <c r="D42" i="49"/>
  <c r="C42" i="49"/>
  <c r="A42" i="49"/>
  <c r="D41" i="49"/>
  <c r="C41" i="49"/>
  <c r="A41" i="49"/>
  <c r="D40" i="49"/>
  <c r="C40" i="49"/>
  <c r="A40" i="49"/>
  <c r="D39" i="49"/>
  <c r="C39" i="49"/>
  <c r="A39" i="49"/>
  <c r="D38" i="49"/>
  <c r="C38" i="49"/>
  <c r="A38" i="49"/>
  <c r="D37" i="49"/>
  <c r="C37" i="49"/>
  <c r="A37" i="49"/>
  <c r="D36" i="49"/>
  <c r="C36" i="49"/>
  <c r="A36" i="49"/>
  <c r="D35" i="49"/>
  <c r="C35" i="49"/>
  <c r="A35" i="49"/>
  <c r="D34" i="49"/>
  <c r="C34" i="49"/>
  <c r="A34" i="49"/>
  <c r="D33" i="49"/>
  <c r="C33" i="49"/>
  <c r="A33" i="49"/>
  <c r="D32" i="49"/>
  <c r="C32" i="49"/>
  <c r="A32" i="49"/>
  <c r="D31" i="49"/>
  <c r="C31" i="49"/>
  <c r="A31" i="49"/>
  <c r="D30" i="49"/>
  <c r="C30" i="49"/>
  <c r="A30" i="49"/>
  <c r="D29" i="49"/>
  <c r="C29" i="49"/>
  <c r="A29" i="49"/>
  <c r="D28" i="49"/>
  <c r="C28" i="49"/>
  <c r="A28" i="49"/>
  <c r="D27" i="49"/>
  <c r="C27" i="49"/>
  <c r="A27" i="49"/>
  <c r="D26" i="49"/>
  <c r="C26" i="49"/>
  <c r="A26" i="49"/>
  <c r="D25" i="49"/>
  <c r="C25" i="49"/>
  <c r="A25" i="49"/>
  <c r="D24" i="49"/>
  <c r="C24" i="49"/>
  <c r="A24" i="49"/>
  <c r="D23" i="49"/>
  <c r="C23" i="49"/>
  <c r="A23" i="49"/>
  <c r="D22" i="49"/>
  <c r="C22" i="49"/>
  <c r="A22" i="49"/>
  <c r="D21" i="49"/>
  <c r="C21" i="49"/>
  <c r="A21" i="49"/>
  <c r="D20" i="49"/>
  <c r="C20" i="49"/>
  <c r="A20" i="49"/>
  <c r="D19" i="49"/>
  <c r="C19" i="49" s="1"/>
  <c r="A19" i="49"/>
  <c r="D18" i="49"/>
  <c r="C18" i="49" s="1"/>
  <c r="A18" i="49"/>
  <c r="D17" i="49"/>
  <c r="C17" i="49" s="1"/>
  <c r="A17" i="49"/>
  <c r="D16" i="49"/>
  <c r="C16" i="49" s="1"/>
  <c r="A16" i="49"/>
  <c r="D15" i="49"/>
  <c r="C15" i="49" s="1"/>
  <c r="A15" i="49"/>
  <c r="D14" i="49"/>
  <c r="C14" i="49" s="1"/>
  <c r="A14" i="49"/>
  <c r="D13" i="49"/>
  <c r="C13" i="49" s="1"/>
  <c r="A13" i="49"/>
  <c r="D12" i="49"/>
  <c r="C12" i="49" s="1"/>
  <c r="A12" i="49"/>
  <c r="D11" i="49"/>
  <c r="C11" i="49" s="1"/>
  <c r="A11" i="49"/>
  <c r="D10" i="49"/>
  <c r="C10" i="49" s="1"/>
  <c r="A10" i="49"/>
  <c r="D9" i="49"/>
  <c r="C9" i="49" s="1"/>
  <c r="A9" i="49"/>
  <c r="D8" i="49"/>
  <c r="C8" i="49" s="1"/>
  <c r="A8" i="49"/>
  <c r="D7" i="49"/>
  <c r="C7" i="49" s="1"/>
  <c r="A7" i="49"/>
  <c r="D6" i="49"/>
  <c r="C6" i="49" s="1"/>
  <c r="A6" i="49"/>
  <c r="D5" i="49"/>
  <c r="C5" i="49" s="1"/>
  <c r="A5" i="49"/>
  <c r="D4" i="49"/>
  <c r="C4" i="49" s="1"/>
  <c r="A4" i="49"/>
  <c r="D3" i="49"/>
  <c r="C3" i="49" s="1"/>
  <c r="A3" i="49"/>
  <c r="D2" i="49"/>
  <c r="C2" i="49" s="1"/>
  <c r="A2" i="49"/>
  <c r="A50" i="48"/>
  <c r="D49" i="48"/>
  <c r="C49" i="48" s="1"/>
  <c r="A49" i="48"/>
  <c r="D48" i="48"/>
  <c r="C48" i="48" s="1"/>
  <c r="A48" i="48"/>
  <c r="D47" i="48"/>
  <c r="C47" i="48" s="1"/>
  <c r="A47" i="48"/>
  <c r="D46" i="48"/>
  <c r="C46" i="48" s="1"/>
  <c r="A46" i="48"/>
  <c r="D45" i="48"/>
  <c r="C45" i="48" s="1"/>
  <c r="A45" i="48"/>
  <c r="D44" i="48"/>
  <c r="C44" i="48" s="1"/>
  <c r="A44" i="48"/>
  <c r="D43" i="48"/>
  <c r="C43" i="48" s="1"/>
  <c r="A43" i="48"/>
  <c r="D42" i="48"/>
  <c r="C42" i="48" s="1"/>
  <c r="A42" i="48"/>
  <c r="D41" i="48"/>
  <c r="C41" i="48" s="1"/>
  <c r="A41" i="48"/>
  <c r="D40" i="48"/>
  <c r="C40" i="48" s="1"/>
  <c r="A40" i="48"/>
  <c r="D39" i="48"/>
  <c r="C39" i="48" s="1"/>
  <c r="A39" i="48"/>
  <c r="D38" i="48"/>
  <c r="C38" i="48" s="1"/>
  <c r="A38" i="48"/>
  <c r="D37" i="48"/>
  <c r="C37" i="48" s="1"/>
  <c r="A37" i="48"/>
  <c r="D36" i="48"/>
  <c r="C36" i="48" s="1"/>
  <c r="A36" i="48"/>
  <c r="D35" i="48"/>
  <c r="C35" i="48" s="1"/>
  <c r="A35" i="48"/>
  <c r="D34" i="48"/>
  <c r="C34" i="48" s="1"/>
  <c r="A34" i="48"/>
  <c r="D33" i="48"/>
  <c r="C33" i="48" s="1"/>
  <c r="A33" i="48"/>
  <c r="D32" i="48"/>
  <c r="C32" i="48" s="1"/>
  <c r="A32" i="48"/>
  <c r="D31" i="48"/>
  <c r="C31" i="48" s="1"/>
  <c r="A31" i="48"/>
  <c r="D30" i="48"/>
  <c r="C30" i="48" s="1"/>
  <c r="A30" i="48"/>
  <c r="D29" i="48"/>
  <c r="C29" i="48" s="1"/>
  <c r="A29" i="48"/>
  <c r="D28" i="48"/>
  <c r="C28" i="48" s="1"/>
  <c r="A28" i="48"/>
  <c r="D27" i="48"/>
  <c r="C27" i="48" s="1"/>
  <c r="A27" i="48"/>
  <c r="D26" i="48"/>
  <c r="C26" i="48" s="1"/>
  <c r="A26" i="48"/>
  <c r="D25" i="48"/>
  <c r="C25" i="48" s="1"/>
  <c r="A25" i="48"/>
  <c r="D24" i="48"/>
  <c r="C24" i="48" s="1"/>
  <c r="A24" i="48"/>
  <c r="D23" i="48"/>
  <c r="C23" i="48" s="1"/>
  <c r="A23" i="48"/>
  <c r="D22" i="48"/>
  <c r="C22" i="48" s="1"/>
  <c r="A22" i="48"/>
  <c r="D21" i="48"/>
  <c r="C21" i="48" s="1"/>
  <c r="A21" i="48"/>
  <c r="D20" i="48"/>
  <c r="C20" i="48" s="1"/>
  <c r="A20" i="48"/>
  <c r="D19" i="48"/>
  <c r="C19" i="48" s="1"/>
  <c r="A19" i="48"/>
  <c r="D18" i="48"/>
  <c r="C18" i="48" s="1"/>
  <c r="A18" i="48"/>
  <c r="D17" i="48"/>
  <c r="C17" i="48" s="1"/>
  <c r="A17" i="48"/>
  <c r="D16" i="48"/>
  <c r="C16" i="48" s="1"/>
  <c r="A16" i="48"/>
  <c r="D15" i="48"/>
  <c r="C15" i="48" s="1"/>
  <c r="A15" i="48"/>
  <c r="D14" i="48"/>
  <c r="C14" i="48" s="1"/>
  <c r="A14" i="48"/>
  <c r="D13" i="48"/>
  <c r="C13" i="48" s="1"/>
  <c r="A13" i="48"/>
  <c r="D12" i="48"/>
  <c r="C12" i="48" s="1"/>
  <c r="A12" i="48"/>
  <c r="D11" i="48"/>
  <c r="C11" i="48" s="1"/>
  <c r="A11" i="48"/>
  <c r="D10" i="48"/>
  <c r="C10" i="48" s="1"/>
  <c r="A10" i="48"/>
  <c r="D9" i="48"/>
  <c r="C9" i="48" s="1"/>
  <c r="A9" i="48"/>
  <c r="D8" i="48"/>
  <c r="C8" i="48" s="1"/>
  <c r="A8" i="48"/>
  <c r="D7" i="48"/>
  <c r="C7" i="48" s="1"/>
  <c r="A7" i="48"/>
  <c r="D6" i="48"/>
  <c r="C6" i="48" s="1"/>
  <c r="A6" i="48"/>
  <c r="D5" i="48"/>
  <c r="C5" i="48" s="1"/>
  <c r="A5" i="48"/>
  <c r="D4" i="48"/>
  <c r="C4" i="48" s="1"/>
  <c r="A4" i="48"/>
  <c r="D3" i="48"/>
  <c r="C3" i="48" s="1"/>
  <c r="A3" i="48"/>
  <c r="D2" i="48"/>
  <c r="C2" i="48" s="1"/>
  <c r="A2" i="48"/>
  <c r="D47" i="47"/>
  <c r="C47" i="47"/>
  <c r="A47" i="47"/>
  <c r="D46" i="47"/>
  <c r="C46" i="47"/>
  <c r="A46" i="47"/>
  <c r="D45" i="47"/>
  <c r="C45" i="47"/>
  <c r="A45" i="47"/>
  <c r="D44" i="47"/>
  <c r="C44" i="47"/>
  <c r="A44" i="47"/>
  <c r="D43" i="47"/>
  <c r="C43" i="47"/>
  <c r="A43" i="47"/>
  <c r="D42" i="47"/>
  <c r="C42" i="47"/>
  <c r="A42" i="47"/>
  <c r="D41" i="47"/>
  <c r="C41" i="47"/>
  <c r="A41" i="47"/>
  <c r="D40" i="47"/>
  <c r="C40" i="47"/>
  <c r="A40" i="47"/>
  <c r="D39" i="47"/>
  <c r="C39" i="47"/>
  <c r="A39" i="47"/>
  <c r="D38" i="47"/>
  <c r="C38" i="47"/>
  <c r="A38" i="47"/>
  <c r="D37" i="47"/>
  <c r="C37" i="47"/>
  <c r="A37" i="47"/>
  <c r="D36" i="47"/>
  <c r="C36" i="47"/>
  <c r="A36" i="47"/>
  <c r="D35" i="47"/>
  <c r="C35" i="47"/>
  <c r="A35" i="47"/>
  <c r="D34" i="47"/>
  <c r="C34" i="47"/>
  <c r="A34" i="47"/>
  <c r="D33" i="47"/>
  <c r="C33" i="47"/>
  <c r="A33" i="47"/>
  <c r="D32" i="47"/>
  <c r="C32" i="47"/>
  <c r="A32" i="47"/>
  <c r="D31" i="47"/>
  <c r="C31" i="47" s="1"/>
  <c r="A31" i="47"/>
  <c r="D30" i="47"/>
  <c r="C30" i="47" s="1"/>
  <c r="A30" i="47"/>
  <c r="D29" i="47"/>
  <c r="C29" i="47" s="1"/>
  <c r="A29" i="47"/>
  <c r="D28" i="47"/>
  <c r="C28" i="47" s="1"/>
  <c r="A28" i="47"/>
  <c r="A27" i="47"/>
  <c r="A26" i="47"/>
  <c r="A25" i="47"/>
  <c r="A24" i="47"/>
  <c r="A23" i="47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A9" i="47"/>
  <c r="A8" i="47"/>
  <c r="A7" i="47"/>
  <c r="A6" i="47"/>
  <c r="A5" i="47"/>
  <c r="A4" i="47"/>
  <c r="A3" i="47"/>
  <c r="A2" i="47"/>
  <c r="D47" i="46"/>
  <c r="C47" i="46" s="1"/>
  <c r="A47" i="46"/>
  <c r="D46" i="46"/>
  <c r="C46" i="46" s="1"/>
  <c r="A46" i="46"/>
  <c r="D45" i="46"/>
  <c r="C45" i="46" s="1"/>
  <c r="A45" i="46"/>
  <c r="D44" i="46"/>
  <c r="C44" i="46" s="1"/>
  <c r="A44" i="46"/>
  <c r="D43" i="46"/>
  <c r="C43" i="46" s="1"/>
  <c r="A43" i="46"/>
  <c r="D42" i="46"/>
  <c r="C42" i="46" s="1"/>
  <c r="A42" i="46"/>
  <c r="D41" i="46"/>
  <c r="C41" i="46" s="1"/>
  <c r="A41" i="46"/>
  <c r="D40" i="46"/>
  <c r="C40" i="46" s="1"/>
  <c r="A40" i="46"/>
  <c r="D39" i="46"/>
  <c r="C39" i="46" s="1"/>
  <c r="A39" i="46"/>
  <c r="D38" i="46"/>
  <c r="C38" i="46" s="1"/>
  <c r="A38" i="46"/>
  <c r="D37" i="46"/>
  <c r="C37" i="46" s="1"/>
  <c r="A37" i="46"/>
  <c r="D36" i="46"/>
  <c r="C36" i="46" s="1"/>
  <c r="A36" i="46"/>
  <c r="D35" i="46"/>
  <c r="C35" i="46" s="1"/>
  <c r="A35" i="46"/>
  <c r="D34" i="46"/>
  <c r="C34" i="46" s="1"/>
  <c r="A34" i="46"/>
  <c r="D33" i="46"/>
  <c r="C33" i="46" s="1"/>
  <c r="A33" i="46"/>
  <c r="D32" i="46"/>
  <c r="C32" i="46" s="1"/>
  <c r="A32" i="46"/>
  <c r="D31" i="46"/>
  <c r="C31" i="46" s="1"/>
  <c r="A31" i="46"/>
  <c r="D30" i="46"/>
  <c r="C30" i="46" s="1"/>
  <c r="A30" i="46"/>
  <c r="D29" i="46"/>
  <c r="C29" i="46" s="1"/>
  <c r="A29" i="46"/>
  <c r="D28" i="46"/>
  <c r="C28" i="46" s="1"/>
  <c r="A28" i="46"/>
  <c r="D27" i="46"/>
  <c r="C27" i="46" s="1"/>
  <c r="A27" i="46"/>
  <c r="D26" i="46"/>
  <c r="C26" i="46" s="1"/>
  <c r="A26" i="46"/>
  <c r="D25" i="46"/>
  <c r="C25" i="46" s="1"/>
  <c r="A25" i="46"/>
  <c r="D24" i="46"/>
  <c r="C24" i="46" s="1"/>
  <c r="A24" i="46"/>
  <c r="D23" i="46"/>
  <c r="C23" i="46" s="1"/>
  <c r="A23" i="46"/>
  <c r="D22" i="46"/>
  <c r="C22" i="46" s="1"/>
  <c r="A22" i="46"/>
  <c r="D21" i="46"/>
  <c r="C21" i="46" s="1"/>
  <c r="A21" i="46"/>
  <c r="D20" i="46"/>
  <c r="C20" i="46" s="1"/>
  <c r="A20" i="46"/>
  <c r="D19" i="46"/>
  <c r="C19" i="46" s="1"/>
  <c r="A19" i="46"/>
  <c r="D18" i="46"/>
  <c r="C18" i="46" s="1"/>
  <c r="A18" i="46"/>
  <c r="D17" i="46"/>
  <c r="C17" i="46" s="1"/>
  <c r="A17" i="46"/>
  <c r="D16" i="46"/>
  <c r="C16" i="46" s="1"/>
  <c r="A16" i="46"/>
  <c r="D15" i="46"/>
  <c r="C15" i="46" s="1"/>
  <c r="A15" i="46"/>
  <c r="D14" i="46"/>
  <c r="C14" i="46" s="1"/>
  <c r="A14" i="46"/>
  <c r="D12" i="46"/>
  <c r="C12" i="46" s="1"/>
  <c r="A12" i="46"/>
  <c r="D11" i="46"/>
  <c r="C11" i="46" s="1"/>
  <c r="A11" i="46"/>
  <c r="D10" i="46"/>
  <c r="C10" i="46" s="1"/>
  <c r="A10" i="46"/>
  <c r="D9" i="46"/>
  <c r="C9" i="46" s="1"/>
  <c r="A9" i="46"/>
  <c r="D8" i="46"/>
  <c r="C8" i="46" s="1"/>
  <c r="A8" i="46"/>
  <c r="D7" i="46"/>
  <c r="C7" i="46" s="1"/>
  <c r="A7" i="46"/>
  <c r="D6" i="46"/>
  <c r="C6" i="46" s="1"/>
  <c r="A6" i="46"/>
  <c r="D5" i="46"/>
  <c r="C5" i="46" s="1"/>
  <c r="A5" i="46"/>
  <c r="D4" i="46"/>
  <c r="C4" i="46" s="1"/>
  <c r="A4" i="46"/>
  <c r="D3" i="46"/>
  <c r="C3" i="46" s="1"/>
  <c r="A3" i="46"/>
  <c r="D2" i="46"/>
  <c r="C2" i="46" s="1"/>
  <c r="A2" i="46"/>
  <c r="D48" i="45"/>
  <c r="C48" i="45"/>
  <c r="A48" i="45"/>
  <c r="D47" i="45"/>
  <c r="C47" i="45"/>
  <c r="A47" i="45"/>
  <c r="D46" i="45"/>
  <c r="C46" i="45"/>
  <c r="A46" i="45"/>
  <c r="D45" i="45"/>
  <c r="C45" i="45"/>
  <c r="A45" i="45"/>
  <c r="D44" i="45"/>
  <c r="C44" i="45"/>
  <c r="A44" i="45"/>
  <c r="D43" i="45"/>
  <c r="C43" i="45"/>
  <c r="A43" i="45"/>
  <c r="D42" i="45"/>
  <c r="C42" i="45"/>
  <c r="A42" i="45"/>
  <c r="D41" i="45"/>
  <c r="C41" i="45"/>
  <c r="A41" i="45"/>
  <c r="D40" i="45"/>
  <c r="C40" i="45"/>
  <c r="A40" i="45"/>
  <c r="D39" i="45"/>
  <c r="C39" i="45"/>
  <c r="A39" i="45"/>
  <c r="D38" i="45"/>
  <c r="C38" i="45"/>
  <c r="A38" i="45"/>
  <c r="D37" i="45"/>
  <c r="C37" i="45"/>
  <c r="A37" i="45"/>
  <c r="D36" i="45"/>
  <c r="C36" i="45"/>
  <c r="A36" i="45"/>
  <c r="D35" i="45"/>
  <c r="C35" i="45"/>
  <c r="A35" i="45"/>
  <c r="D34" i="45"/>
  <c r="C34" i="45"/>
  <c r="A34" i="45"/>
  <c r="D33" i="45"/>
  <c r="C33" i="45"/>
  <c r="A33" i="45"/>
  <c r="D32" i="45"/>
  <c r="C32" i="45"/>
  <c r="A32" i="45"/>
  <c r="D31" i="45"/>
  <c r="C31" i="45"/>
  <c r="A31" i="45"/>
  <c r="D30" i="45"/>
  <c r="C30" i="45"/>
  <c r="A30" i="45"/>
  <c r="D29" i="45"/>
  <c r="C29" i="45"/>
  <c r="A29" i="45"/>
  <c r="D28" i="45"/>
  <c r="C28" i="45"/>
  <c r="A28" i="45"/>
  <c r="D27" i="45"/>
  <c r="C27" i="45" s="1"/>
  <c r="A27" i="45"/>
  <c r="D26" i="45"/>
  <c r="C26" i="45" s="1"/>
  <c r="A26" i="45"/>
  <c r="D25" i="45"/>
  <c r="C25" i="45" s="1"/>
  <c r="A25" i="45"/>
  <c r="D24" i="45"/>
  <c r="C24" i="45" s="1"/>
  <c r="A24" i="45"/>
  <c r="D23" i="45"/>
  <c r="C23" i="45" s="1"/>
  <c r="A23" i="45"/>
  <c r="D22" i="45"/>
  <c r="C22" i="45" s="1"/>
  <c r="A22" i="45"/>
  <c r="D21" i="45"/>
  <c r="C21" i="45" s="1"/>
  <c r="A21" i="45"/>
  <c r="D20" i="45"/>
  <c r="C20" i="45" s="1"/>
  <c r="A20" i="45"/>
  <c r="D19" i="45"/>
  <c r="C19" i="45" s="1"/>
  <c r="A19" i="45"/>
  <c r="D18" i="45"/>
  <c r="C18" i="45" s="1"/>
  <c r="A18" i="45"/>
  <c r="D17" i="45"/>
  <c r="C17" i="45" s="1"/>
  <c r="A17" i="45"/>
  <c r="D16" i="45"/>
  <c r="C16" i="45" s="1"/>
  <c r="A16" i="45"/>
  <c r="D15" i="45"/>
  <c r="C15" i="45" s="1"/>
  <c r="A15" i="45"/>
  <c r="D14" i="45"/>
  <c r="C14" i="45" s="1"/>
  <c r="A14" i="45"/>
  <c r="D13" i="45"/>
  <c r="C13" i="45" s="1"/>
  <c r="A13" i="45"/>
  <c r="D12" i="45"/>
  <c r="C12" i="45" s="1"/>
  <c r="A12" i="45"/>
  <c r="D11" i="45"/>
  <c r="C11" i="45" s="1"/>
  <c r="A11" i="45"/>
  <c r="D10" i="45"/>
  <c r="C10" i="45" s="1"/>
  <c r="A10" i="45"/>
  <c r="D9" i="45"/>
  <c r="C9" i="45" s="1"/>
  <c r="A9" i="45"/>
  <c r="D8" i="45"/>
  <c r="C8" i="45" s="1"/>
  <c r="A8" i="45"/>
  <c r="D7" i="45"/>
  <c r="C7" i="45" s="1"/>
  <c r="A7" i="45"/>
  <c r="D6" i="45"/>
  <c r="C6" i="45" s="1"/>
  <c r="A6" i="45"/>
  <c r="D5" i="45"/>
  <c r="C5" i="45" s="1"/>
  <c r="A5" i="45"/>
  <c r="D4" i="45"/>
  <c r="C4" i="45" s="1"/>
  <c r="A4" i="45"/>
  <c r="D3" i="45"/>
  <c r="C3" i="45" s="1"/>
  <c r="A3" i="45"/>
  <c r="D2" i="45"/>
  <c r="C2" i="45" s="1"/>
  <c r="A2" i="45"/>
  <c r="D49" i="44"/>
  <c r="C49" i="44"/>
  <c r="A49" i="44"/>
  <c r="D48" i="44"/>
  <c r="C48" i="44"/>
  <c r="A48" i="44"/>
  <c r="D47" i="44"/>
  <c r="C47" i="44"/>
  <c r="A47" i="44"/>
  <c r="D46" i="44"/>
  <c r="C46" i="44"/>
  <c r="A46" i="44"/>
  <c r="D45" i="44"/>
  <c r="C45" i="44"/>
  <c r="A45" i="44"/>
  <c r="D44" i="44"/>
  <c r="C44" i="44"/>
  <c r="A44" i="44"/>
  <c r="D43" i="44"/>
  <c r="C43" i="44"/>
  <c r="A43" i="44"/>
  <c r="D42" i="44"/>
  <c r="C42" i="44"/>
  <c r="A42" i="44"/>
  <c r="D41" i="44"/>
  <c r="C41" i="44"/>
  <c r="A41" i="44"/>
  <c r="D40" i="44"/>
  <c r="C40" i="44"/>
  <c r="A40" i="44"/>
  <c r="D39" i="44"/>
  <c r="C39" i="44"/>
  <c r="A39" i="44"/>
  <c r="D38" i="44"/>
  <c r="C38" i="44"/>
  <c r="A38" i="44"/>
  <c r="D37" i="44"/>
  <c r="C37" i="44"/>
  <c r="A37" i="44"/>
  <c r="D36" i="44"/>
  <c r="C36" i="44"/>
  <c r="A36" i="44"/>
  <c r="D35" i="44"/>
  <c r="C35" i="44"/>
  <c r="A35" i="44"/>
  <c r="D34" i="44"/>
  <c r="C34" i="44"/>
  <c r="A34" i="44"/>
  <c r="D33" i="44"/>
  <c r="C33" i="44"/>
  <c r="A33" i="44"/>
  <c r="D32" i="44"/>
  <c r="C32" i="44"/>
  <c r="A32" i="44"/>
  <c r="D31" i="44"/>
  <c r="C31" i="44"/>
  <c r="A31" i="44"/>
  <c r="D30" i="44"/>
  <c r="C30" i="44"/>
  <c r="A30" i="44"/>
  <c r="D29" i="44"/>
  <c r="C29" i="44"/>
  <c r="A29" i="44"/>
  <c r="D28" i="44"/>
  <c r="C28" i="44"/>
  <c r="A28" i="44"/>
  <c r="D27" i="44"/>
  <c r="C27" i="44"/>
  <c r="A27" i="44"/>
  <c r="D26" i="44"/>
  <c r="C26" i="44"/>
  <c r="A26" i="44"/>
  <c r="D25" i="44"/>
  <c r="C25" i="44"/>
  <c r="A25" i="44"/>
  <c r="D24" i="44"/>
  <c r="C24" i="44"/>
  <c r="A24" i="44"/>
  <c r="D23" i="44"/>
  <c r="C23" i="44"/>
  <c r="A23" i="44"/>
  <c r="D22" i="44"/>
  <c r="C22" i="44"/>
  <c r="A22" i="44"/>
  <c r="D21" i="44"/>
  <c r="C21" i="44"/>
  <c r="A21" i="44"/>
  <c r="D20" i="44"/>
  <c r="C20" i="44"/>
  <c r="A20" i="44"/>
  <c r="D19" i="44"/>
  <c r="C19" i="44"/>
  <c r="A19" i="44"/>
  <c r="D18" i="44"/>
  <c r="C18" i="44" s="1"/>
  <c r="A18" i="44"/>
  <c r="D17" i="44"/>
  <c r="C17" i="44" s="1"/>
  <c r="A17" i="44"/>
  <c r="D16" i="44"/>
  <c r="C16" i="44" s="1"/>
  <c r="A16" i="44"/>
  <c r="D15" i="44"/>
  <c r="C15" i="44" s="1"/>
  <c r="A15" i="44"/>
  <c r="D14" i="44"/>
  <c r="C14" i="44" s="1"/>
  <c r="A14" i="44"/>
  <c r="D13" i="44"/>
  <c r="C13" i="44" s="1"/>
  <c r="A13" i="44"/>
  <c r="D12" i="44"/>
  <c r="C12" i="44" s="1"/>
  <c r="A12" i="44"/>
  <c r="D11" i="44"/>
  <c r="C11" i="44" s="1"/>
  <c r="A11" i="44"/>
  <c r="D10" i="44"/>
  <c r="C10" i="44" s="1"/>
  <c r="A10" i="44"/>
  <c r="D9" i="44"/>
  <c r="C9" i="44" s="1"/>
  <c r="A9" i="44"/>
  <c r="D8" i="44"/>
  <c r="C8" i="44" s="1"/>
  <c r="A8" i="44"/>
  <c r="D7" i="44"/>
  <c r="C7" i="44" s="1"/>
  <c r="A7" i="44"/>
  <c r="D6" i="44"/>
  <c r="C6" i="44" s="1"/>
  <c r="A6" i="44"/>
  <c r="D5" i="44"/>
  <c r="C5" i="44" s="1"/>
  <c r="A5" i="44"/>
  <c r="D4" i="44"/>
  <c r="C4" i="44" s="1"/>
  <c r="A4" i="44"/>
  <c r="D3" i="44"/>
  <c r="C3" i="44" s="1"/>
  <c r="A3" i="44"/>
  <c r="D2" i="44"/>
  <c r="C2" i="44" s="1"/>
  <c r="A2" i="44"/>
  <c r="D49" i="43"/>
  <c r="C49" i="43"/>
  <c r="A49" i="43"/>
  <c r="D48" i="43"/>
  <c r="C48" i="43"/>
  <c r="A48" i="43"/>
  <c r="D47" i="43"/>
  <c r="C47" i="43"/>
  <c r="A47" i="43"/>
  <c r="D46" i="43"/>
  <c r="C46" i="43"/>
  <c r="A46" i="43"/>
  <c r="D45" i="43"/>
  <c r="C45" i="43"/>
  <c r="A45" i="43"/>
  <c r="D44" i="43"/>
  <c r="C44" i="43"/>
  <c r="A44" i="43"/>
  <c r="D43" i="43"/>
  <c r="C43" i="43"/>
  <c r="A43" i="43"/>
  <c r="D42" i="43"/>
  <c r="C42" i="43"/>
  <c r="A42" i="43"/>
  <c r="D41" i="43"/>
  <c r="C41" i="43"/>
  <c r="A41" i="43"/>
  <c r="D40" i="43"/>
  <c r="C40" i="43"/>
  <c r="A40" i="43"/>
  <c r="D39" i="43"/>
  <c r="C39" i="43"/>
  <c r="A39" i="43"/>
  <c r="D38" i="43"/>
  <c r="C38" i="43"/>
  <c r="A38" i="43"/>
  <c r="D37" i="43"/>
  <c r="C37" i="43"/>
  <c r="A37" i="43"/>
  <c r="D36" i="43"/>
  <c r="C36" i="43"/>
  <c r="A36" i="43"/>
  <c r="D35" i="43"/>
  <c r="C35" i="43"/>
  <c r="A35" i="43"/>
  <c r="D34" i="43"/>
  <c r="C34" i="43" s="1"/>
  <c r="A34" i="43"/>
  <c r="D33" i="43"/>
  <c r="C33" i="43" s="1"/>
  <c r="A33" i="43"/>
  <c r="D32" i="43"/>
  <c r="C32" i="43" s="1"/>
  <c r="A32" i="43"/>
  <c r="D31" i="43"/>
  <c r="C31" i="43" s="1"/>
  <c r="A31" i="43"/>
  <c r="D30" i="43"/>
  <c r="C30" i="43" s="1"/>
  <c r="A30" i="43"/>
  <c r="D29" i="43"/>
  <c r="C29" i="43" s="1"/>
  <c r="A29" i="43"/>
  <c r="D28" i="43"/>
  <c r="C28" i="43" s="1"/>
  <c r="A28" i="43"/>
  <c r="D27" i="43"/>
  <c r="C27" i="43" s="1"/>
  <c r="A27" i="43"/>
  <c r="D26" i="43"/>
  <c r="C26" i="43" s="1"/>
  <c r="A26" i="43"/>
  <c r="D25" i="43"/>
  <c r="C25" i="43" s="1"/>
  <c r="A25" i="43"/>
  <c r="D24" i="43"/>
  <c r="C24" i="43" s="1"/>
  <c r="A24" i="43"/>
  <c r="D23" i="43"/>
  <c r="C23" i="43" s="1"/>
  <c r="A23" i="43"/>
  <c r="D22" i="43"/>
  <c r="C22" i="43" s="1"/>
  <c r="A22" i="43"/>
  <c r="D21" i="43"/>
  <c r="C21" i="43" s="1"/>
  <c r="A21" i="43"/>
  <c r="D20" i="43"/>
  <c r="C20" i="43" s="1"/>
  <c r="A20" i="43"/>
  <c r="D19" i="43"/>
  <c r="C19" i="43" s="1"/>
  <c r="A19" i="43"/>
  <c r="D18" i="43"/>
  <c r="C18" i="43" s="1"/>
  <c r="A18" i="43"/>
  <c r="D17" i="43"/>
  <c r="C17" i="43" s="1"/>
  <c r="A17" i="43"/>
  <c r="D16" i="43"/>
  <c r="C16" i="43" s="1"/>
  <c r="A16" i="43"/>
  <c r="D15" i="43"/>
  <c r="C15" i="43" s="1"/>
  <c r="A15" i="43"/>
  <c r="D14" i="43"/>
  <c r="C14" i="43" s="1"/>
  <c r="A14" i="43"/>
  <c r="D13" i="43"/>
  <c r="C13" i="43" s="1"/>
  <c r="A13" i="43"/>
  <c r="D12" i="43"/>
  <c r="C12" i="43" s="1"/>
  <c r="A12" i="43"/>
  <c r="D11" i="43"/>
  <c r="C11" i="43" s="1"/>
  <c r="A11" i="43"/>
  <c r="D10" i="43"/>
  <c r="C10" i="43" s="1"/>
  <c r="A10" i="43"/>
  <c r="D9" i="43"/>
  <c r="C9" i="43" s="1"/>
  <c r="A9" i="43"/>
  <c r="D8" i="43"/>
  <c r="C8" i="43" s="1"/>
  <c r="A8" i="43"/>
  <c r="D7" i="43"/>
  <c r="C7" i="43" s="1"/>
  <c r="A7" i="43"/>
  <c r="D6" i="43"/>
  <c r="C6" i="43" s="1"/>
  <c r="A6" i="43"/>
  <c r="D5" i="43"/>
  <c r="C5" i="43" s="1"/>
  <c r="A5" i="43"/>
  <c r="D4" i="43"/>
  <c r="C4" i="43" s="1"/>
  <c r="A4" i="43"/>
  <c r="D3" i="43"/>
  <c r="C3" i="43" s="1"/>
  <c r="A3" i="43"/>
  <c r="D2" i="43"/>
  <c r="C2" i="43" s="1"/>
  <c r="A2" i="43"/>
  <c r="D48" i="42"/>
  <c r="C48" i="42"/>
  <c r="A48" i="42"/>
  <c r="D47" i="42"/>
  <c r="C47" i="42"/>
  <c r="A47" i="42"/>
  <c r="D46" i="42"/>
  <c r="C46" i="42"/>
  <c r="A46" i="42"/>
  <c r="D45" i="42"/>
  <c r="C45" i="42"/>
  <c r="A45" i="42"/>
  <c r="D44" i="42"/>
  <c r="C44" i="42"/>
  <c r="A44" i="42"/>
  <c r="D43" i="42"/>
  <c r="C43" i="42"/>
  <c r="A43" i="42"/>
  <c r="D42" i="42"/>
  <c r="C42" i="42"/>
  <c r="A42" i="42"/>
  <c r="D41" i="42"/>
  <c r="C41" i="42"/>
  <c r="A41" i="42"/>
  <c r="D40" i="42"/>
  <c r="C40" i="42"/>
  <c r="A40" i="42"/>
  <c r="D39" i="42"/>
  <c r="C39" i="42"/>
  <c r="A39" i="42"/>
  <c r="D38" i="42"/>
  <c r="C38" i="42"/>
  <c r="A38" i="42"/>
  <c r="D37" i="42"/>
  <c r="C37" i="42"/>
  <c r="A37" i="42"/>
  <c r="D36" i="42"/>
  <c r="C36" i="42"/>
  <c r="A36" i="42"/>
  <c r="D35" i="42"/>
  <c r="C35" i="42"/>
  <c r="A35" i="42"/>
  <c r="D34" i="42"/>
  <c r="C34" i="42"/>
  <c r="A34" i="42"/>
  <c r="D33" i="42"/>
  <c r="C33" i="42"/>
  <c r="A33" i="42"/>
  <c r="D32" i="42"/>
  <c r="C32" i="42"/>
  <c r="A32" i="42"/>
  <c r="D31" i="42"/>
  <c r="C31" i="42"/>
  <c r="A31" i="42"/>
  <c r="D30" i="42"/>
  <c r="C30" i="42"/>
  <c r="A30" i="42"/>
  <c r="D29" i="42"/>
  <c r="C29" i="42"/>
  <c r="A29" i="42"/>
  <c r="D28" i="42"/>
  <c r="C28" i="42"/>
  <c r="A28" i="42"/>
  <c r="D27" i="42"/>
  <c r="C27" i="42" s="1"/>
  <c r="A27" i="42"/>
  <c r="D26" i="42"/>
  <c r="C26" i="42" s="1"/>
  <c r="A26" i="42"/>
  <c r="D25" i="42"/>
  <c r="C25" i="42" s="1"/>
  <c r="A25" i="42"/>
  <c r="D24" i="42"/>
  <c r="C24" i="42" s="1"/>
  <c r="A24" i="42"/>
  <c r="D23" i="42"/>
  <c r="C23" i="42" s="1"/>
  <c r="A23" i="42"/>
  <c r="D22" i="42"/>
  <c r="C22" i="42" s="1"/>
  <c r="A22" i="42"/>
  <c r="D21" i="42"/>
  <c r="C21" i="42" s="1"/>
  <c r="A21" i="42"/>
  <c r="D20" i="42"/>
  <c r="C20" i="42" s="1"/>
  <c r="A20" i="42"/>
  <c r="D19" i="42"/>
  <c r="C19" i="42" s="1"/>
  <c r="A19" i="42"/>
  <c r="D18" i="42"/>
  <c r="C18" i="42" s="1"/>
  <c r="A18" i="42"/>
  <c r="D17" i="42"/>
  <c r="C17" i="42" s="1"/>
  <c r="A17" i="42"/>
  <c r="D16" i="42"/>
  <c r="C16" i="42" s="1"/>
  <c r="A16" i="42"/>
  <c r="D15" i="42"/>
  <c r="C15" i="42" s="1"/>
  <c r="A15" i="42"/>
  <c r="D14" i="42"/>
  <c r="C14" i="42" s="1"/>
  <c r="A14" i="42"/>
  <c r="D13" i="42"/>
  <c r="C13" i="42" s="1"/>
  <c r="A13" i="42"/>
  <c r="D12" i="42"/>
  <c r="C12" i="42" s="1"/>
  <c r="A12" i="42"/>
  <c r="D11" i="42"/>
  <c r="C11" i="42" s="1"/>
  <c r="A11" i="42"/>
  <c r="D10" i="42"/>
  <c r="C10" i="42" s="1"/>
  <c r="A10" i="42"/>
  <c r="D9" i="42"/>
  <c r="C9" i="42" s="1"/>
  <c r="A9" i="42"/>
  <c r="D8" i="42"/>
  <c r="C8" i="42" s="1"/>
  <c r="A8" i="42"/>
  <c r="D7" i="42"/>
  <c r="C7" i="42" s="1"/>
  <c r="A7" i="42"/>
  <c r="D6" i="42"/>
  <c r="C6" i="42" s="1"/>
  <c r="A6" i="42"/>
  <c r="D5" i="42"/>
  <c r="C5" i="42" s="1"/>
  <c r="A5" i="42"/>
  <c r="D4" i="42"/>
  <c r="C4" i="42" s="1"/>
  <c r="A4" i="42"/>
  <c r="D3" i="42"/>
  <c r="C3" i="42" s="1"/>
  <c r="A3" i="42"/>
  <c r="D2" i="42"/>
  <c r="C2" i="42" s="1"/>
  <c r="A2" i="42"/>
  <c r="D48" i="41"/>
  <c r="C48" i="41"/>
  <c r="A48" i="41"/>
  <c r="D47" i="41"/>
  <c r="C47" i="41"/>
  <c r="A47" i="41"/>
  <c r="D46" i="41"/>
  <c r="C46" i="41"/>
  <c r="A46" i="41"/>
  <c r="D45" i="41"/>
  <c r="C45" i="41"/>
  <c r="A45" i="41"/>
  <c r="D44" i="41"/>
  <c r="C44" i="41"/>
  <c r="A44" i="41"/>
  <c r="D43" i="41"/>
  <c r="C43" i="41"/>
  <c r="A43" i="41"/>
  <c r="D42" i="41"/>
  <c r="C42" i="41"/>
  <c r="A42" i="41"/>
  <c r="D41" i="41"/>
  <c r="C41" i="41"/>
  <c r="A41" i="41"/>
  <c r="D40" i="41"/>
  <c r="C40" i="41"/>
  <c r="A40" i="41"/>
  <c r="D39" i="41"/>
  <c r="C39" i="41"/>
  <c r="A39" i="41"/>
  <c r="D38" i="41"/>
  <c r="C38" i="41"/>
  <c r="A38" i="41"/>
  <c r="D37" i="41"/>
  <c r="C37" i="41"/>
  <c r="A37" i="41"/>
  <c r="D36" i="41"/>
  <c r="C36" i="41"/>
  <c r="A36" i="41"/>
  <c r="D35" i="41"/>
  <c r="C35" i="41"/>
  <c r="A35" i="41"/>
  <c r="D34" i="41"/>
  <c r="C34" i="41"/>
  <c r="A34" i="41"/>
  <c r="D33" i="41"/>
  <c r="C33" i="41"/>
  <c r="A33" i="41"/>
  <c r="D32" i="41"/>
  <c r="C32" i="41"/>
  <c r="A32" i="41"/>
  <c r="D31" i="41"/>
  <c r="C31" i="41"/>
  <c r="A31" i="41"/>
  <c r="D30" i="41"/>
  <c r="C30" i="41" s="1"/>
  <c r="A30" i="41"/>
  <c r="D29" i="41"/>
  <c r="C29" i="41" s="1"/>
  <c r="A29" i="41"/>
  <c r="D28" i="41"/>
  <c r="C28" i="41" s="1"/>
  <c r="A28" i="41"/>
  <c r="D27" i="41"/>
  <c r="C27" i="41" s="1"/>
  <c r="A27" i="41"/>
  <c r="D26" i="41"/>
  <c r="C26" i="41" s="1"/>
  <c r="A26" i="41"/>
  <c r="D25" i="41"/>
  <c r="C25" i="41" s="1"/>
  <c r="A25" i="41"/>
  <c r="D24" i="41"/>
  <c r="C24" i="41" s="1"/>
  <c r="A24" i="41"/>
  <c r="D23" i="41"/>
  <c r="C23" i="41" s="1"/>
  <c r="A23" i="41"/>
  <c r="D22" i="41"/>
  <c r="C22" i="41" s="1"/>
  <c r="A22" i="41"/>
  <c r="D21" i="41"/>
  <c r="C21" i="41" s="1"/>
  <c r="A21" i="41"/>
  <c r="D20" i="41"/>
  <c r="C20" i="41" s="1"/>
  <c r="A20" i="41"/>
  <c r="D19" i="41"/>
  <c r="C19" i="41" s="1"/>
  <c r="A19" i="41"/>
  <c r="D18" i="41"/>
  <c r="C18" i="41" s="1"/>
  <c r="A18" i="41"/>
  <c r="D17" i="41"/>
  <c r="C17" i="41" s="1"/>
  <c r="A17" i="41"/>
  <c r="D16" i="41"/>
  <c r="C16" i="41" s="1"/>
  <c r="A16" i="41"/>
  <c r="D15" i="41"/>
  <c r="C15" i="41" s="1"/>
  <c r="A15" i="41"/>
  <c r="D14" i="41"/>
  <c r="C14" i="41" s="1"/>
  <c r="A14" i="41"/>
  <c r="D13" i="41"/>
  <c r="C13" i="41" s="1"/>
  <c r="A13" i="41"/>
  <c r="D12" i="41"/>
  <c r="C12" i="41" s="1"/>
  <c r="A12" i="41"/>
  <c r="D11" i="41"/>
  <c r="C11" i="41" s="1"/>
  <c r="A11" i="41"/>
  <c r="D10" i="41"/>
  <c r="C10" i="41" s="1"/>
  <c r="A10" i="41"/>
  <c r="D9" i="41"/>
  <c r="C9" i="41" s="1"/>
  <c r="A9" i="41"/>
  <c r="D8" i="41"/>
  <c r="C8" i="41" s="1"/>
  <c r="A8" i="41"/>
  <c r="D7" i="41"/>
  <c r="C7" i="41" s="1"/>
  <c r="A7" i="41"/>
  <c r="D6" i="41"/>
  <c r="C6" i="41" s="1"/>
  <c r="A6" i="41"/>
  <c r="D5" i="41"/>
  <c r="C5" i="41" s="1"/>
  <c r="A5" i="41"/>
  <c r="D4" i="41"/>
  <c r="C4" i="41" s="1"/>
  <c r="A4" i="41"/>
  <c r="D3" i="41"/>
  <c r="C3" i="41" s="1"/>
  <c r="A3" i="41"/>
  <c r="D2" i="41"/>
  <c r="C2" i="41" s="1"/>
  <c r="A2" i="41"/>
  <c r="D2" i="18"/>
  <c r="C2" i="18" s="1"/>
  <c r="D3" i="18"/>
  <c r="C3" i="18" s="1"/>
  <c r="D4" i="18"/>
  <c r="C4" i="18" s="1"/>
  <c r="D5" i="18"/>
  <c r="C5" i="18" s="1"/>
  <c r="D6" i="18"/>
  <c r="C6" i="18" s="1"/>
  <c r="D7" i="18"/>
  <c r="C7" i="18" s="1"/>
  <c r="D8" i="18"/>
  <c r="C8" i="18" s="1"/>
  <c r="D9" i="18"/>
  <c r="C9" i="18" s="1"/>
  <c r="D10" i="18"/>
  <c r="C10" i="18" s="1"/>
  <c r="D11" i="18"/>
  <c r="C11" i="18" s="1"/>
  <c r="D12" i="18"/>
  <c r="C12" i="18" s="1"/>
  <c r="D13" i="18"/>
  <c r="C13" i="18" s="1"/>
  <c r="D14" i="18"/>
  <c r="C14" i="18" s="1"/>
  <c r="D15" i="18"/>
  <c r="C15" i="18" s="1"/>
  <c r="D16" i="18"/>
  <c r="C16" i="18" s="1"/>
  <c r="D17" i="18"/>
  <c r="C17" i="18" s="1"/>
  <c r="D18" i="18"/>
  <c r="C18" i="18" s="1"/>
  <c r="D19" i="18"/>
  <c r="C19" i="18" s="1"/>
  <c r="D20" i="18"/>
  <c r="C20" i="18" s="1"/>
  <c r="D21" i="18"/>
  <c r="C21" i="18" s="1"/>
  <c r="D22" i="18"/>
  <c r="C22" i="18" s="1"/>
  <c r="D23" i="18"/>
  <c r="C23" i="18" s="1"/>
  <c r="D24" i="18"/>
  <c r="C24" i="18" s="1"/>
  <c r="D25" i="18"/>
  <c r="C25" i="18" s="1"/>
  <c r="D26" i="18"/>
  <c r="C26" i="18" s="1"/>
  <c r="D27" i="18"/>
  <c r="C27" i="18" s="1"/>
  <c r="D28" i="18"/>
  <c r="C28" i="18" s="1"/>
  <c r="D29" i="18"/>
  <c r="C29" i="18" s="1"/>
  <c r="D30" i="18"/>
  <c r="D31" i="18"/>
  <c r="C31" i="18" s="1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C30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A2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I62" i="4" l="1"/>
  <c r="I66" i="4"/>
  <c r="I33" i="58"/>
  <c r="I63" i="4"/>
  <c r="I67" i="4"/>
  <c r="I54" i="4"/>
  <c r="I64" i="4"/>
  <c r="I68" i="4"/>
  <c r="I65" i="4"/>
  <c r="I58" i="4"/>
  <c r="J65" i="4"/>
  <c r="J58" i="4"/>
  <c r="J62" i="4"/>
  <c r="J66" i="4"/>
  <c r="J33" i="58"/>
  <c r="J63" i="4"/>
  <c r="J67" i="4"/>
  <c r="J54" i="4"/>
  <c r="J64" i="4"/>
  <c r="J68" i="4"/>
  <c r="O64" i="4"/>
  <c r="O68" i="4"/>
  <c r="O65" i="4"/>
  <c r="O58" i="4"/>
  <c r="O62" i="4"/>
  <c r="O66" i="4"/>
  <c r="O33" i="58"/>
  <c r="O63" i="4"/>
  <c r="O67" i="4"/>
  <c r="O54" i="4"/>
  <c r="Q62" i="4"/>
  <c r="Q66" i="4"/>
  <c r="Q33" i="58"/>
  <c r="Q63" i="4"/>
  <c r="Q67" i="4"/>
  <c r="Q54" i="4"/>
  <c r="Q64" i="4"/>
  <c r="Q68" i="4"/>
  <c r="Q65" i="4"/>
  <c r="Q58" i="4"/>
  <c r="S64" i="4"/>
  <c r="S68" i="4"/>
  <c r="S65" i="4"/>
  <c r="S58" i="4"/>
  <c r="S62" i="4"/>
  <c r="S66" i="4"/>
  <c r="S33" i="58"/>
  <c r="S63" i="4"/>
  <c r="S67" i="4"/>
  <c r="S54" i="4"/>
  <c r="T33" i="58"/>
  <c r="T63" i="4"/>
  <c r="T67" i="4"/>
  <c r="T54" i="4"/>
  <c r="T64" i="4"/>
  <c r="T68" i="4"/>
  <c r="T65" i="4"/>
  <c r="T58" i="4"/>
  <c r="T62" i="4"/>
  <c r="T66" i="4"/>
  <c r="U34" i="58"/>
  <c r="U62" i="4"/>
  <c r="U66" i="4"/>
  <c r="U33" i="58"/>
  <c r="U63" i="4"/>
  <c r="U67" i="4"/>
  <c r="U54" i="4"/>
  <c r="U64" i="4"/>
  <c r="U68" i="4"/>
  <c r="U65" i="4"/>
  <c r="U58" i="4"/>
  <c r="Z63" i="4"/>
  <c r="Z67" i="4"/>
  <c r="Z64" i="4"/>
  <c r="Z68" i="4"/>
  <c r="Z54" i="4"/>
  <c r="Z33" i="58"/>
  <c r="Z65" i="4"/>
  <c r="Z62" i="4"/>
  <c r="Z66" i="4"/>
  <c r="Z58" i="4"/>
  <c r="X33" i="58"/>
  <c r="X58" i="4"/>
  <c r="X54" i="4"/>
  <c r="N65" i="4"/>
  <c r="N58" i="4"/>
  <c r="N62" i="4"/>
  <c r="N66" i="4"/>
  <c r="N33" i="58"/>
  <c r="N63" i="4"/>
  <c r="N67" i="4"/>
  <c r="N54" i="4"/>
  <c r="N64" i="4"/>
  <c r="N68" i="4"/>
  <c r="R65" i="4"/>
  <c r="R58" i="4"/>
  <c r="R62" i="4"/>
  <c r="R66" i="4"/>
  <c r="R33" i="58"/>
  <c r="R63" i="4"/>
  <c r="R67" i="4"/>
  <c r="R54" i="4"/>
  <c r="R64" i="4"/>
  <c r="R68" i="4"/>
  <c r="V33" i="58"/>
  <c r="M62" i="4"/>
  <c r="M66" i="4"/>
  <c r="M33" i="58"/>
  <c r="M63" i="4"/>
  <c r="M67" i="4"/>
  <c r="M54" i="4"/>
  <c r="M64" i="4"/>
  <c r="M68" i="4"/>
  <c r="M65" i="4"/>
  <c r="M58" i="4"/>
  <c r="P33" i="58"/>
  <c r="P63" i="4"/>
  <c r="P67" i="4"/>
  <c r="P54" i="4"/>
  <c r="P64" i="4"/>
  <c r="P68" i="4"/>
  <c r="P65" i="4"/>
  <c r="P58" i="4"/>
  <c r="P62" i="4"/>
  <c r="P66" i="4"/>
  <c r="W65" i="4"/>
  <c r="W58" i="4"/>
  <c r="W62" i="4"/>
  <c r="W66" i="4"/>
  <c r="W63" i="4"/>
  <c r="W67" i="4"/>
  <c r="W54" i="4"/>
  <c r="W33" i="58"/>
  <c r="W64" i="4"/>
  <c r="W68" i="4"/>
  <c r="H33" i="58"/>
  <c r="H63" i="4"/>
  <c r="H67" i="4"/>
  <c r="H54" i="4"/>
  <c r="H64" i="4"/>
  <c r="H68" i="4"/>
  <c r="H65" i="4"/>
  <c r="H58" i="4"/>
  <c r="H62" i="4"/>
  <c r="H66" i="4"/>
  <c r="K64" i="4"/>
  <c r="K68" i="4"/>
  <c r="K65" i="4"/>
  <c r="K58" i="4"/>
  <c r="K62" i="4"/>
  <c r="K66" i="4"/>
  <c r="K33" i="58"/>
  <c r="K63" i="4"/>
  <c r="K67" i="4"/>
  <c r="K54" i="4"/>
  <c r="Y64" i="4"/>
  <c r="Y68" i="4"/>
  <c r="Y54" i="4"/>
  <c r="Y33" i="58"/>
  <c r="Y65" i="4"/>
  <c r="Y62" i="4"/>
  <c r="Y66" i="4"/>
  <c r="Y58" i="4"/>
  <c r="Y63" i="4"/>
  <c r="Y67" i="4"/>
  <c r="X62" i="4"/>
  <c r="X64" i="4"/>
  <c r="X66" i="4"/>
  <c r="X68" i="4"/>
  <c r="X63" i="4"/>
  <c r="X65" i="4"/>
  <c r="X67" i="4"/>
  <c r="V62" i="4"/>
  <c r="V66" i="4"/>
  <c r="V65" i="4"/>
  <c r="V63" i="4"/>
  <c r="V64" i="4"/>
  <c r="V68" i="4"/>
  <c r="V67" i="4"/>
  <c r="V54" i="4"/>
  <c r="V58" i="4"/>
  <c r="H23" i="58"/>
  <c r="H34" i="58"/>
  <c r="K23" i="58"/>
  <c r="K34" i="58"/>
  <c r="Y23" i="58"/>
  <c r="Y34" i="58"/>
  <c r="I23" i="58"/>
  <c r="I34" i="58"/>
  <c r="J34" i="58"/>
  <c r="J23" i="58"/>
  <c r="O23" i="58"/>
  <c r="O34" i="58"/>
  <c r="Q23" i="58"/>
  <c r="Q34" i="58"/>
  <c r="S23" i="58"/>
  <c r="S34" i="58"/>
  <c r="T23" i="58"/>
  <c r="T34" i="58"/>
  <c r="Z34" i="58"/>
  <c r="Z23" i="58"/>
  <c r="W34" i="58"/>
  <c r="W23" i="58"/>
  <c r="N34" i="58"/>
  <c r="N23" i="58"/>
  <c r="R34" i="58"/>
  <c r="R23" i="58"/>
  <c r="V6" i="58"/>
  <c r="V34" i="58"/>
  <c r="V23" i="58"/>
  <c r="M23" i="58"/>
  <c r="M34" i="58"/>
  <c r="P23" i="58"/>
  <c r="P34" i="58"/>
  <c r="X23" i="58"/>
  <c r="X34" i="58"/>
  <c r="U23" i="58"/>
  <c r="U6" i="58"/>
  <c r="W6" i="58"/>
  <c r="I49" i="4"/>
  <c r="I48" i="58"/>
  <c r="I22" i="4"/>
  <c r="I26" i="4"/>
  <c r="J26" i="4"/>
  <c r="J49" i="4"/>
  <c r="J48" i="58"/>
  <c r="J22" i="4"/>
  <c r="Y48" i="58"/>
  <c r="Y22" i="4"/>
  <c r="Y26" i="4"/>
  <c r="Y49" i="4"/>
  <c r="M49" i="4"/>
  <c r="M48" i="58"/>
  <c r="M22" i="4"/>
  <c r="M26" i="4"/>
  <c r="P48" i="58"/>
  <c r="P22" i="4"/>
  <c r="P26" i="4"/>
  <c r="P49" i="4"/>
  <c r="S26" i="4"/>
  <c r="T48" i="58"/>
  <c r="T22" i="4"/>
  <c r="T26" i="4"/>
  <c r="T49" i="4"/>
  <c r="Z26" i="4"/>
  <c r="Z49" i="4"/>
  <c r="Z48" i="58"/>
  <c r="Z22" i="4"/>
  <c r="W26" i="4"/>
  <c r="W49" i="4"/>
  <c r="W48" i="58"/>
  <c r="W22" i="4"/>
  <c r="H48" i="58"/>
  <c r="H22" i="4"/>
  <c r="H26" i="4"/>
  <c r="H49" i="4"/>
  <c r="K48" i="58"/>
  <c r="K22" i="4"/>
  <c r="K26" i="4"/>
  <c r="K49" i="4"/>
  <c r="V26" i="4"/>
  <c r="V49" i="4"/>
  <c r="V48" i="58"/>
  <c r="V22" i="4"/>
  <c r="O48" i="58"/>
  <c r="O22" i="4"/>
  <c r="O26" i="4"/>
  <c r="O49" i="4"/>
  <c r="Q49" i="4"/>
  <c r="Q48" i="58"/>
  <c r="Q22" i="4"/>
  <c r="Q26" i="4"/>
  <c r="U48" i="58"/>
  <c r="U22" i="4"/>
  <c r="U26" i="4"/>
  <c r="U49" i="4"/>
  <c r="X48" i="58"/>
  <c r="X22" i="4"/>
  <c r="X26" i="4"/>
  <c r="X49" i="4"/>
  <c r="N51" i="4"/>
  <c r="N26" i="4"/>
  <c r="N49" i="4"/>
  <c r="N48" i="58"/>
  <c r="N22" i="4"/>
  <c r="R26" i="4"/>
  <c r="R49" i="4"/>
  <c r="R48" i="58"/>
  <c r="R22" i="4"/>
  <c r="S22" i="4"/>
  <c r="S49" i="4"/>
  <c r="S48" i="58"/>
  <c r="M47" i="4"/>
  <c r="M51" i="4"/>
  <c r="M38" i="4"/>
  <c r="P38" i="4"/>
  <c r="P51" i="4"/>
  <c r="P47" i="4"/>
  <c r="U38" i="4"/>
  <c r="U51" i="4"/>
  <c r="U47" i="4"/>
  <c r="X38" i="4"/>
  <c r="X51" i="4"/>
  <c r="X47" i="4"/>
  <c r="H51" i="4"/>
  <c r="H38" i="4"/>
  <c r="H47" i="4"/>
  <c r="Q38" i="4"/>
  <c r="Q51" i="4"/>
  <c r="Q47" i="4"/>
  <c r="V47" i="4"/>
  <c r="V38" i="4"/>
  <c r="V51" i="4"/>
  <c r="K51" i="4"/>
  <c r="K38" i="4"/>
  <c r="K47" i="4"/>
  <c r="R47" i="4"/>
  <c r="R38" i="4"/>
  <c r="R51" i="4"/>
  <c r="Y38" i="4"/>
  <c r="Y51" i="4"/>
  <c r="Y47" i="4"/>
  <c r="I47" i="4"/>
  <c r="I51" i="4"/>
  <c r="I38" i="4"/>
  <c r="J47" i="4"/>
  <c r="J51" i="4"/>
  <c r="J38" i="4"/>
  <c r="O51" i="4"/>
  <c r="O47" i="4"/>
  <c r="O38" i="4"/>
  <c r="S51" i="4"/>
  <c r="S47" i="4"/>
  <c r="S38" i="4"/>
  <c r="T38" i="4"/>
  <c r="T51" i="4"/>
  <c r="T47" i="4"/>
  <c r="Z47" i="4"/>
  <c r="Z38" i="4"/>
  <c r="Z51" i="4"/>
  <c r="W51" i="4"/>
  <c r="W47" i="4"/>
  <c r="W38" i="4"/>
  <c r="N38" i="4"/>
  <c r="N47" i="4"/>
  <c r="I16" i="4"/>
  <c r="I17" i="58"/>
  <c r="I27" i="58"/>
  <c r="I17" i="4"/>
  <c r="I19" i="4"/>
  <c r="J16" i="4"/>
  <c r="J19" i="4"/>
  <c r="J17" i="58"/>
  <c r="J27" i="58"/>
  <c r="J17" i="4"/>
  <c r="P19" i="4"/>
  <c r="P17" i="58"/>
  <c r="P27" i="58"/>
  <c r="P17" i="4"/>
  <c r="U17" i="4"/>
  <c r="U19" i="4"/>
  <c r="U27" i="58"/>
  <c r="U17" i="58"/>
  <c r="X19" i="4"/>
  <c r="X17" i="58"/>
  <c r="X27" i="58"/>
  <c r="X17" i="4"/>
  <c r="N27" i="58"/>
  <c r="N17" i="4"/>
  <c r="N17" i="58"/>
  <c r="N19" i="4"/>
  <c r="R27" i="58"/>
  <c r="R17" i="4"/>
  <c r="R19" i="4"/>
  <c r="R17" i="58"/>
  <c r="Y17" i="4"/>
  <c r="Y19" i="4"/>
  <c r="Y17" i="58"/>
  <c r="Y27" i="58"/>
  <c r="M16" i="4"/>
  <c r="M17" i="4"/>
  <c r="M19" i="4"/>
  <c r="M17" i="58"/>
  <c r="M27" i="58"/>
  <c r="O16" i="4"/>
  <c r="O17" i="58"/>
  <c r="O27" i="58"/>
  <c r="O19" i="4"/>
  <c r="O17" i="4"/>
  <c r="S16" i="4"/>
  <c r="S17" i="58"/>
  <c r="S27" i="58"/>
  <c r="S17" i="4"/>
  <c r="S19" i="4"/>
  <c r="T16" i="4"/>
  <c r="T19" i="4"/>
  <c r="T17" i="58"/>
  <c r="T17" i="4"/>
  <c r="T27" i="58"/>
  <c r="Z16" i="4"/>
  <c r="Z27" i="58"/>
  <c r="Z17" i="4"/>
  <c r="Z19" i="4"/>
  <c r="Z17" i="58"/>
  <c r="W16" i="4"/>
  <c r="W17" i="58"/>
  <c r="W27" i="58"/>
  <c r="W19" i="4"/>
  <c r="W17" i="4"/>
  <c r="H27" i="58"/>
  <c r="H17" i="4"/>
  <c r="H19" i="4"/>
  <c r="H17" i="58"/>
  <c r="Q17" i="4"/>
  <c r="Q27" i="58"/>
  <c r="Q19" i="4"/>
  <c r="Q17" i="58"/>
  <c r="V27" i="58"/>
  <c r="V17" i="4"/>
  <c r="V17" i="58"/>
  <c r="V19" i="4"/>
  <c r="K17" i="58"/>
  <c r="K27" i="58"/>
  <c r="K19" i="4"/>
  <c r="K17" i="4"/>
  <c r="P16" i="4"/>
  <c r="U16" i="4"/>
  <c r="X16" i="4"/>
  <c r="H16" i="4"/>
  <c r="K16" i="4"/>
  <c r="N16" i="4"/>
  <c r="R16" i="4"/>
  <c r="Y16" i="4"/>
  <c r="Q16" i="4"/>
  <c r="V16" i="4"/>
  <c r="N39" i="58"/>
  <c r="N43" i="58"/>
  <c r="N56" i="4"/>
  <c r="N8" i="4"/>
  <c r="R39" i="58"/>
  <c r="R43" i="58"/>
  <c r="R56" i="4"/>
  <c r="R8" i="4"/>
  <c r="Y43" i="58"/>
  <c r="Y56" i="4"/>
  <c r="Y8" i="4"/>
  <c r="Y39" i="58"/>
  <c r="J39" i="58"/>
  <c r="J56" i="4"/>
  <c r="M43" i="58"/>
  <c r="M56" i="4"/>
  <c r="M8" i="4"/>
  <c r="M39" i="58"/>
  <c r="O56" i="4"/>
  <c r="O8" i="4"/>
  <c r="O39" i="58"/>
  <c r="O43" i="58"/>
  <c r="S56" i="4"/>
  <c r="S8" i="4"/>
  <c r="S39" i="58"/>
  <c r="S43" i="58"/>
  <c r="T56" i="4"/>
  <c r="T8" i="4"/>
  <c r="T39" i="58"/>
  <c r="T43" i="58"/>
  <c r="Z39" i="58"/>
  <c r="Z43" i="58"/>
  <c r="Z56" i="4"/>
  <c r="Z8" i="4"/>
  <c r="W56" i="4"/>
  <c r="W8" i="4"/>
  <c r="W39" i="58"/>
  <c r="W43" i="58"/>
  <c r="H43" i="58"/>
  <c r="H56" i="4"/>
  <c r="H39" i="58"/>
  <c r="H8" i="4"/>
  <c r="Q43" i="58"/>
  <c r="Q56" i="4"/>
  <c r="Q8" i="4"/>
  <c r="Q39" i="58"/>
  <c r="V39" i="58"/>
  <c r="V43" i="58"/>
  <c r="V56" i="4"/>
  <c r="V8" i="4"/>
  <c r="I43" i="58"/>
  <c r="I56" i="4"/>
  <c r="I39" i="58"/>
  <c r="I8" i="4"/>
  <c r="P56" i="4"/>
  <c r="P8" i="4"/>
  <c r="P39" i="58"/>
  <c r="P43" i="58"/>
  <c r="U43" i="58"/>
  <c r="U56" i="4"/>
  <c r="U8" i="4"/>
  <c r="U39" i="58"/>
  <c r="X56" i="4"/>
  <c r="X8" i="4"/>
  <c r="X39" i="58"/>
  <c r="X43" i="58"/>
  <c r="K56" i="4"/>
  <c r="K8" i="4"/>
  <c r="K39" i="58"/>
  <c r="K43" i="58"/>
  <c r="J8" i="4"/>
  <c r="J43" i="58"/>
  <c r="K35" i="4"/>
  <c r="K8" i="58"/>
  <c r="N8" i="58"/>
  <c r="N35" i="4"/>
  <c r="R8" i="58"/>
  <c r="R35" i="4"/>
  <c r="Y35" i="4"/>
  <c r="Y8" i="58"/>
  <c r="H35" i="4"/>
  <c r="H8" i="58"/>
  <c r="I35" i="4"/>
  <c r="I8" i="58"/>
  <c r="M35" i="4"/>
  <c r="M8" i="58"/>
  <c r="O32" i="58"/>
  <c r="O35" i="4"/>
  <c r="O8" i="58"/>
  <c r="S35" i="4"/>
  <c r="S8" i="58"/>
  <c r="T35" i="4"/>
  <c r="T8" i="58"/>
  <c r="Z8" i="58"/>
  <c r="Z35" i="4"/>
  <c r="W35" i="4"/>
  <c r="W8" i="58"/>
  <c r="Q35" i="4"/>
  <c r="Q8" i="58"/>
  <c r="V8" i="58"/>
  <c r="V35" i="4"/>
  <c r="J8" i="58"/>
  <c r="J35" i="4"/>
  <c r="P35" i="4"/>
  <c r="P8" i="58"/>
  <c r="U35" i="4"/>
  <c r="U8" i="58"/>
  <c r="X35" i="4"/>
  <c r="X8" i="58"/>
  <c r="X25" i="58"/>
  <c r="K25" i="58"/>
  <c r="N32" i="58"/>
  <c r="R32" i="58"/>
  <c r="Y57" i="58"/>
  <c r="H53" i="4"/>
  <c r="H7" i="4"/>
  <c r="H4" i="4"/>
  <c r="H46" i="4"/>
  <c r="H9" i="4"/>
  <c r="H15" i="4"/>
  <c r="H25" i="4"/>
  <c r="H36" i="4"/>
  <c r="H45" i="4"/>
  <c r="H61" i="4"/>
  <c r="H33" i="4"/>
  <c r="H44" i="4"/>
  <c r="H3" i="4"/>
  <c r="H14" i="4"/>
  <c r="H28" i="4"/>
  <c r="H42" i="4"/>
  <c r="H69" i="4"/>
  <c r="H24" i="4"/>
  <c r="H13" i="4"/>
  <c r="H29" i="4"/>
  <c r="H55" i="4"/>
  <c r="H20" i="4"/>
  <c r="H34" i="4"/>
  <c r="H50" i="4"/>
  <c r="H57" i="4"/>
  <c r="H31" i="4"/>
  <c r="H40" i="4"/>
  <c r="H43" i="4"/>
  <c r="H32" i="4"/>
  <c r="H30" i="4"/>
  <c r="H27" i="4"/>
  <c r="H5" i="4"/>
  <c r="H41" i="4"/>
  <c r="H23" i="4"/>
  <c r="H21" i="4"/>
  <c r="H18" i="4"/>
  <c r="H11" i="4"/>
  <c r="H12" i="4"/>
  <c r="H59" i="4"/>
  <c r="H60" i="4"/>
  <c r="H48" i="4"/>
  <c r="H52" i="4"/>
  <c r="H6" i="4"/>
  <c r="H10" i="4"/>
  <c r="H37" i="4"/>
  <c r="H39" i="4"/>
  <c r="J15" i="6"/>
  <c r="K15" i="6" s="1"/>
  <c r="J14" i="6"/>
  <c r="K14" i="6" s="1"/>
  <c r="H57" i="58"/>
  <c r="I32" i="58"/>
  <c r="M57" i="58"/>
  <c r="S32" i="58"/>
  <c r="T25" i="58"/>
  <c r="Z32" i="58"/>
  <c r="Q57" i="58"/>
  <c r="W32" i="58"/>
  <c r="J44" i="58"/>
  <c r="P44" i="58"/>
  <c r="U44" i="58"/>
  <c r="U12" i="6"/>
  <c r="V12" i="6" s="1"/>
  <c r="J13" i="6"/>
  <c r="K13" i="6" s="1"/>
  <c r="U11" i="6"/>
  <c r="V11" i="6" s="1"/>
  <c r="U10" i="6"/>
  <c r="V10" i="6" s="1"/>
  <c r="J12" i="6"/>
  <c r="K12" i="6" s="1"/>
  <c r="J11" i="6"/>
  <c r="K11" i="6" s="1"/>
  <c r="J7" i="6"/>
  <c r="K7" i="6" s="1"/>
  <c r="F10" i="4" s="1"/>
  <c r="J4" i="6"/>
  <c r="K4" i="6" s="1"/>
  <c r="F9" i="4" s="1"/>
  <c r="J10" i="6"/>
  <c r="K10" i="6" s="1"/>
  <c r="J6" i="6"/>
  <c r="K6" i="6" s="1"/>
  <c r="F5" i="4" s="1"/>
  <c r="J9" i="6"/>
  <c r="K9" i="6" s="1"/>
  <c r="J5" i="6"/>
  <c r="K5" i="6" s="1"/>
  <c r="F13" i="4" s="1"/>
  <c r="J8" i="6"/>
  <c r="K8" i="6" s="1"/>
  <c r="F6" i="4" s="1"/>
  <c r="Y32" i="58"/>
  <c r="U32" i="58"/>
  <c r="Q32" i="58"/>
  <c r="M32" i="58"/>
  <c r="H32" i="58"/>
  <c r="X57" i="58"/>
  <c r="T57" i="58"/>
  <c r="P57" i="58"/>
  <c r="K57" i="58"/>
  <c r="W25" i="58"/>
  <c r="S25" i="58"/>
  <c r="O25" i="58"/>
  <c r="J25" i="58"/>
  <c r="X32" i="58"/>
  <c r="T32" i="58"/>
  <c r="P32" i="58"/>
  <c r="K32" i="58"/>
  <c r="W57" i="58"/>
  <c r="S57" i="58"/>
  <c r="O57" i="58"/>
  <c r="J57" i="58"/>
  <c r="Z25" i="58"/>
  <c r="V25" i="58"/>
  <c r="R25" i="58"/>
  <c r="N25" i="58"/>
  <c r="I25" i="58"/>
  <c r="J32" i="58"/>
  <c r="Z57" i="58"/>
  <c r="V57" i="58"/>
  <c r="R57" i="58"/>
  <c r="N57" i="58"/>
  <c r="I57" i="58"/>
  <c r="Y25" i="58"/>
  <c r="U25" i="58"/>
  <c r="Q25" i="58"/>
  <c r="M25" i="58"/>
  <c r="H25" i="58"/>
  <c r="V32" i="58"/>
  <c r="U57" i="58"/>
  <c r="P25" i="58"/>
  <c r="K44" i="58"/>
  <c r="X44" i="58"/>
  <c r="H44" i="58"/>
  <c r="I44" i="58"/>
  <c r="M44" i="58"/>
  <c r="O44" i="58"/>
  <c r="S44" i="58"/>
  <c r="T44" i="58"/>
  <c r="Z44" i="58"/>
  <c r="Q44" i="58"/>
  <c r="W44" i="58"/>
  <c r="U9" i="6"/>
  <c r="V9" i="6" s="1"/>
  <c r="U8" i="6"/>
  <c r="V8" i="6" s="1"/>
  <c r="K48" i="4"/>
  <c r="V44" i="58"/>
  <c r="R44" i="58"/>
  <c r="N44" i="58"/>
  <c r="Y44" i="58"/>
  <c r="O9" i="4"/>
  <c r="T48" i="4"/>
  <c r="X48" i="4"/>
  <c r="P48" i="4"/>
  <c r="W48" i="4"/>
  <c r="S48" i="4"/>
  <c r="O48" i="4"/>
  <c r="J48" i="4"/>
  <c r="Z48" i="4"/>
  <c r="V48" i="4"/>
  <c r="R48" i="4"/>
  <c r="N48" i="4"/>
  <c r="I48" i="4"/>
  <c r="Y48" i="4"/>
  <c r="U48" i="4"/>
  <c r="Q48" i="4"/>
  <c r="M48" i="4"/>
  <c r="H35" i="58"/>
  <c r="Z59" i="58"/>
  <c r="X59" i="58"/>
  <c r="U59" i="58"/>
  <c r="W9" i="4"/>
  <c r="R9" i="4"/>
  <c r="M35" i="58"/>
  <c r="J63" i="58"/>
  <c r="Q44" i="4"/>
  <c r="S9" i="4"/>
  <c r="Y9" i="4"/>
  <c r="V9" i="4"/>
  <c r="K9" i="4"/>
  <c r="N9" i="4"/>
  <c r="P9" i="4"/>
  <c r="Z35" i="58"/>
  <c r="X35" i="58"/>
  <c r="V35" i="58"/>
  <c r="S35" i="58"/>
  <c r="Q35" i="58"/>
  <c r="O35" i="58"/>
  <c r="J35" i="58"/>
  <c r="I9" i="4"/>
  <c r="M9" i="4"/>
  <c r="V59" i="58"/>
  <c r="S59" i="58"/>
  <c r="Q59" i="58"/>
  <c r="O59" i="58"/>
  <c r="M59" i="58"/>
  <c r="J59" i="58"/>
  <c r="H59" i="58"/>
  <c r="Y35" i="58"/>
  <c r="W35" i="58"/>
  <c r="U35" i="58"/>
  <c r="R35" i="58"/>
  <c r="P35" i="58"/>
  <c r="N35" i="58"/>
  <c r="K35" i="58"/>
  <c r="I35" i="58"/>
  <c r="Y59" i="58"/>
  <c r="W59" i="58"/>
  <c r="R59" i="58"/>
  <c r="P59" i="58"/>
  <c r="N59" i="58"/>
  <c r="K59" i="58"/>
  <c r="I59" i="58"/>
  <c r="T59" i="58"/>
  <c r="T35" i="58"/>
  <c r="T9" i="4"/>
  <c r="U44" i="4"/>
  <c r="Z44" i="4"/>
  <c r="X44" i="4"/>
  <c r="J9" i="4"/>
  <c r="Z9" i="4"/>
  <c r="U9" i="4"/>
  <c r="Q9" i="4"/>
  <c r="X9" i="4"/>
  <c r="W63" i="58"/>
  <c r="K44" i="4"/>
  <c r="N44" i="4"/>
  <c r="P44" i="4"/>
  <c r="I44" i="4"/>
  <c r="M44" i="4"/>
  <c r="S63" i="58"/>
  <c r="Y44" i="4"/>
  <c r="V44" i="4"/>
  <c r="O63" i="58"/>
  <c r="T44" i="4"/>
  <c r="R44" i="4"/>
  <c r="W44" i="4"/>
  <c r="S44" i="4"/>
  <c r="O44" i="4"/>
  <c r="J44" i="4"/>
  <c r="Z63" i="58"/>
  <c r="V63" i="58"/>
  <c r="R63" i="58"/>
  <c r="N63" i="58"/>
  <c r="I63" i="58"/>
  <c r="Y63" i="58"/>
  <c r="U63" i="58"/>
  <c r="Q63" i="58"/>
  <c r="M63" i="58"/>
  <c r="H63" i="58"/>
  <c r="X63" i="58"/>
  <c r="T63" i="58"/>
  <c r="P63" i="58"/>
  <c r="K63" i="58"/>
  <c r="Q56" i="58"/>
  <c r="I56" i="58"/>
  <c r="M56" i="58"/>
  <c r="U56" i="58"/>
  <c r="Z56" i="58"/>
  <c r="X56" i="58"/>
  <c r="H56" i="58"/>
  <c r="J56" i="58"/>
  <c r="W56" i="58"/>
  <c r="K56" i="58"/>
  <c r="S56" i="58"/>
  <c r="Y56" i="58"/>
  <c r="V56" i="58"/>
  <c r="R56" i="58"/>
  <c r="N56" i="58"/>
  <c r="O56" i="58"/>
  <c r="P62" i="58"/>
  <c r="Q59" i="4"/>
  <c r="R36" i="4"/>
  <c r="T62" i="58"/>
  <c r="T56" i="58"/>
  <c r="P56" i="58"/>
  <c r="J27" i="4"/>
  <c r="O27" i="4"/>
  <c r="U59" i="4"/>
  <c r="Z36" i="4"/>
  <c r="X62" i="58"/>
  <c r="N36" i="4"/>
  <c r="W27" i="4"/>
  <c r="K62" i="58"/>
  <c r="I36" i="4"/>
  <c r="S27" i="4"/>
  <c r="Y59" i="4"/>
  <c r="V36" i="4"/>
  <c r="M59" i="4"/>
  <c r="Z27" i="4"/>
  <c r="V27" i="4"/>
  <c r="R27" i="4"/>
  <c r="N27" i="4"/>
  <c r="I27" i="4"/>
  <c r="Y36" i="4"/>
  <c r="U36" i="4"/>
  <c r="Q36" i="4"/>
  <c r="M36" i="4"/>
  <c r="X59" i="4"/>
  <c r="T59" i="4"/>
  <c r="P59" i="4"/>
  <c r="K59" i="4"/>
  <c r="W62" i="58"/>
  <c r="S62" i="58"/>
  <c r="O62" i="58"/>
  <c r="J62" i="58"/>
  <c r="Y27" i="4"/>
  <c r="U27" i="4"/>
  <c r="Q27" i="4"/>
  <c r="M27" i="4"/>
  <c r="X36" i="4"/>
  <c r="T36" i="4"/>
  <c r="P36" i="4"/>
  <c r="K36" i="4"/>
  <c r="W59" i="4"/>
  <c r="S59" i="4"/>
  <c r="O59" i="4"/>
  <c r="J59" i="4"/>
  <c r="Z62" i="58"/>
  <c r="V62" i="58"/>
  <c r="R62" i="58"/>
  <c r="N62" i="58"/>
  <c r="I62" i="58"/>
  <c r="X27" i="4"/>
  <c r="T27" i="4"/>
  <c r="P27" i="4"/>
  <c r="K27" i="4"/>
  <c r="W36" i="4"/>
  <c r="S36" i="4"/>
  <c r="O36" i="4"/>
  <c r="J36" i="4"/>
  <c r="Z59" i="4"/>
  <c r="V59" i="4"/>
  <c r="R59" i="4"/>
  <c r="N59" i="4"/>
  <c r="I59" i="4"/>
  <c r="Y62" i="58"/>
  <c r="U62" i="58"/>
  <c r="Q62" i="58"/>
  <c r="M62" i="58"/>
  <c r="H62" i="58"/>
  <c r="V33" i="4"/>
  <c r="K33" i="4"/>
  <c r="S54" i="58"/>
  <c r="J54" i="58"/>
  <c r="I4" i="4"/>
  <c r="T14" i="4"/>
  <c r="O54" i="58"/>
  <c r="U33" i="4"/>
  <c r="Z33" i="4"/>
  <c r="M33" i="4"/>
  <c r="Q37" i="4"/>
  <c r="R33" i="4"/>
  <c r="N33" i="4"/>
  <c r="W54" i="58"/>
  <c r="X33" i="4"/>
  <c r="T33" i="4"/>
  <c r="P33" i="4"/>
  <c r="Z54" i="58"/>
  <c r="V54" i="58"/>
  <c r="R54" i="58"/>
  <c r="N54" i="58"/>
  <c r="I54" i="58"/>
  <c r="Q50" i="4"/>
  <c r="Y6" i="58"/>
  <c r="W37" i="4"/>
  <c r="X6" i="58"/>
  <c r="W33" i="4"/>
  <c r="S33" i="4"/>
  <c r="O33" i="4"/>
  <c r="J33" i="4"/>
  <c r="Y54" i="58"/>
  <c r="U54" i="58"/>
  <c r="Q54" i="58"/>
  <c r="M54" i="58"/>
  <c r="H54" i="58"/>
  <c r="I33" i="4"/>
  <c r="X54" i="58"/>
  <c r="T54" i="58"/>
  <c r="P54" i="58"/>
  <c r="K54" i="58"/>
  <c r="Y33" i="4"/>
  <c r="Q33" i="4"/>
  <c r="T6" i="58"/>
  <c r="K14" i="4"/>
  <c r="I13" i="58"/>
  <c r="I6" i="58"/>
  <c r="J40" i="58"/>
  <c r="J6" i="58"/>
  <c r="P37" i="4"/>
  <c r="Q40" i="4"/>
  <c r="Q6" i="58"/>
  <c r="K38" i="58"/>
  <c r="O6" i="58"/>
  <c r="S13" i="58"/>
  <c r="U37" i="4"/>
  <c r="Z23" i="4"/>
  <c r="V51" i="58"/>
  <c r="X23" i="4"/>
  <c r="K37" i="4"/>
  <c r="P6" i="58"/>
  <c r="S40" i="4"/>
  <c r="S6" i="58"/>
  <c r="V37" i="4"/>
  <c r="M51" i="58"/>
  <c r="M6" i="58"/>
  <c r="R40" i="58"/>
  <c r="R6" i="58"/>
  <c r="T40" i="58"/>
  <c r="T13" i="58"/>
  <c r="H6" i="58"/>
  <c r="N6" i="58"/>
  <c r="O14" i="4"/>
  <c r="W23" i="4"/>
  <c r="K49" i="58"/>
  <c r="Q14" i="4"/>
  <c r="K6" i="58"/>
  <c r="Y40" i="4"/>
  <c r="Y51" i="58"/>
  <c r="Y40" i="58"/>
  <c r="Y37" i="4"/>
  <c r="Y23" i="4"/>
  <c r="Y38" i="58"/>
  <c r="Y13" i="58"/>
  <c r="X40" i="58"/>
  <c r="X37" i="4"/>
  <c r="V40" i="58"/>
  <c r="V13" i="58"/>
  <c r="V23" i="4"/>
  <c r="P40" i="4"/>
  <c r="P50" i="4"/>
  <c r="P38" i="58"/>
  <c r="P40" i="58"/>
  <c r="P23" i="4"/>
  <c r="P14" i="58"/>
  <c r="P14" i="4"/>
  <c r="P51" i="58"/>
  <c r="P13" i="58"/>
  <c r="Z37" i="4"/>
  <c r="U40" i="58"/>
  <c r="U23" i="4"/>
  <c r="U51" i="58"/>
  <c r="U13" i="58"/>
  <c r="T23" i="4"/>
  <c r="T40" i="4"/>
  <c r="T37" i="4"/>
  <c r="T38" i="58"/>
  <c r="T51" i="58"/>
  <c r="S40" i="58"/>
  <c r="S37" i="4"/>
  <c r="S23" i="4"/>
  <c r="S14" i="4"/>
  <c r="S51" i="58"/>
  <c r="S50" i="4"/>
  <c r="S38" i="58"/>
  <c r="R13" i="58"/>
  <c r="R51" i="58"/>
  <c r="R23" i="4"/>
  <c r="R14" i="4"/>
  <c r="R50" i="4"/>
  <c r="R40" i="4"/>
  <c r="R37" i="4"/>
  <c r="R38" i="58"/>
  <c r="Q38" i="58"/>
  <c r="Q51" i="58"/>
  <c r="Q13" i="58"/>
  <c r="Q23" i="4"/>
  <c r="Q40" i="58"/>
  <c r="N40" i="4"/>
  <c r="N51" i="58"/>
  <c r="N40" i="58"/>
  <c r="N50" i="4"/>
  <c r="N38" i="58"/>
  <c r="N13" i="58"/>
  <c r="N23" i="4"/>
  <c r="N37" i="4"/>
  <c r="N14" i="58"/>
  <c r="N14" i="4"/>
  <c r="O14" i="58"/>
  <c r="O38" i="58"/>
  <c r="O40" i="4"/>
  <c r="O13" i="58"/>
  <c r="O23" i="4"/>
  <c r="O50" i="58"/>
  <c r="O25" i="4"/>
  <c r="O50" i="4"/>
  <c r="O40" i="58"/>
  <c r="O37" i="4"/>
  <c r="O22" i="58"/>
  <c r="O51" i="58"/>
  <c r="M22" i="58"/>
  <c r="M40" i="58"/>
  <c r="M50" i="4"/>
  <c r="M38" i="58"/>
  <c r="M13" i="58"/>
  <c r="M37" i="4"/>
  <c r="M23" i="4"/>
  <c r="M49" i="58"/>
  <c r="M25" i="4"/>
  <c r="M50" i="58"/>
  <c r="M14" i="58"/>
  <c r="M40" i="4"/>
  <c r="M14" i="4"/>
  <c r="J52" i="58"/>
  <c r="J15" i="58"/>
  <c r="J25" i="4"/>
  <c r="J37" i="58"/>
  <c r="J36" i="58"/>
  <c r="J3" i="58"/>
  <c r="J12" i="58"/>
  <c r="J45" i="58"/>
  <c r="J60" i="58"/>
  <c r="J21" i="58"/>
  <c r="J10" i="58"/>
  <c r="J53" i="58"/>
  <c r="J14" i="58"/>
  <c r="J50" i="4"/>
  <c r="J5" i="58"/>
  <c r="J4" i="58"/>
  <c r="J58" i="58"/>
  <c r="J55" i="58"/>
  <c r="J40" i="4"/>
  <c r="J29" i="58"/>
  <c r="J16" i="58"/>
  <c r="J28" i="58"/>
  <c r="J19" i="58"/>
  <c r="J11" i="58"/>
  <c r="J20" i="58"/>
  <c r="J26" i="58"/>
  <c r="J50" i="58"/>
  <c r="J14" i="4"/>
  <c r="J51" i="58"/>
  <c r="J13" i="58"/>
  <c r="J37" i="4"/>
  <c r="J23" i="4"/>
  <c r="J31" i="58"/>
  <c r="J47" i="58"/>
  <c r="J9" i="58"/>
  <c r="J41" i="58"/>
  <c r="J24" i="58"/>
  <c r="J30" i="58"/>
  <c r="J42" i="58"/>
  <c r="J61" i="58"/>
  <c r="J7" i="58"/>
  <c r="J18" i="58"/>
  <c r="J46" i="58"/>
  <c r="J49" i="58"/>
  <c r="J22" i="58"/>
  <c r="J38" i="58"/>
  <c r="K14" i="58"/>
  <c r="K51" i="58"/>
  <c r="K40" i="58"/>
  <c r="K23" i="4"/>
  <c r="K50" i="4"/>
  <c r="K40" i="4"/>
  <c r="K13" i="58"/>
  <c r="K25" i="4"/>
  <c r="K22" i="58"/>
  <c r="K50" i="58"/>
  <c r="I29" i="58"/>
  <c r="I4" i="58"/>
  <c r="I58" i="58"/>
  <c r="I55" i="58"/>
  <c r="I20" i="58"/>
  <c r="I26" i="58"/>
  <c r="I49" i="58"/>
  <c r="I14" i="58"/>
  <c r="I40" i="4"/>
  <c r="I40" i="58"/>
  <c r="I37" i="4"/>
  <c r="I25" i="4"/>
  <c r="I38" i="58"/>
  <c r="I51" i="58"/>
  <c r="I52" i="58"/>
  <c r="I16" i="58"/>
  <c r="I31" i="58"/>
  <c r="I28" i="58"/>
  <c r="I47" i="58"/>
  <c r="I57" i="4"/>
  <c r="I37" i="58"/>
  <c r="I36" i="58"/>
  <c r="I9" i="58"/>
  <c r="I3" i="58"/>
  <c r="I41" i="58"/>
  <c r="I12" i="58"/>
  <c r="I24" i="58"/>
  <c r="I30" i="58"/>
  <c r="I45" i="58"/>
  <c r="I42" i="58"/>
  <c r="I60" i="58"/>
  <c r="I61" i="58"/>
  <c r="I21" i="58"/>
  <c r="I10" i="58"/>
  <c r="I7" i="58"/>
  <c r="I18" i="58"/>
  <c r="I53" i="58"/>
  <c r="I46" i="58"/>
  <c r="I22" i="58"/>
  <c r="I50" i="4"/>
  <c r="I23" i="4"/>
  <c r="I5" i="58"/>
  <c r="I15" i="58"/>
  <c r="I19" i="58"/>
  <c r="I11" i="58"/>
  <c r="I50" i="58"/>
  <c r="I14" i="4"/>
  <c r="H22" i="58"/>
  <c r="H51" i="58"/>
  <c r="H36" i="58"/>
  <c r="H21" i="58"/>
  <c r="H53" i="58"/>
  <c r="H5" i="58"/>
  <c r="H52" i="58"/>
  <c r="H4" i="58"/>
  <c r="H15" i="58"/>
  <c r="H31" i="58"/>
  <c r="H47" i="58"/>
  <c r="H58" i="58"/>
  <c r="H55" i="58"/>
  <c r="H38" i="58"/>
  <c r="H3" i="58"/>
  <c r="H60" i="58"/>
  <c r="H10" i="58"/>
  <c r="H9" i="58"/>
  <c r="H41" i="58"/>
  <c r="H24" i="58"/>
  <c r="H30" i="58"/>
  <c r="H42" i="58"/>
  <c r="H61" i="58"/>
  <c r="H7" i="58"/>
  <c r="H18" i="58"/>
  <c r="H46" i="58"/>
  <c r="H50" i="58"/>
  <c r="H14" i="58"/>
  <c r="H40" i="58"/>
  <c r="H37" i="58"/>
  <c r="H12" i="58"/>
  <c r="H45" i="58"/>
  <c r="H29" i="58"/>
  <c r="H16" i="58"/>
  <c r="H28" i="58"/>
  <c r="H19" i="58"/>
  <c r="H11" i="58"/>
  <c r="H20" i="58"/>
  <c r="H26" i="58"/>
  <c r="H49" i="58"/>
  <c r="H13" i="58"/>
  <c r="Z53" i="58"/>
  <c r="Z14" i="4"/>
  <c r="Z43" i="4"/>
  <c r="Z52" i="4"/>
  <c r="Z13" i="4"/>
  <c r="Z20" i="4"/>
  <c r="Z21" i="4"/>
  <c r="Z4" i="4"/>
  <c r="Z22" i="58"/>
  <c r="Z14" i="58"/>
  <c r="Z51" i="58"/>
  <c r="Z13" i="58"/>
  <c r="Z40" i="58"/>
  <c r="Z29" i="4"/>
  <c r="Z42" i="4"/>
  <c r="Z10" i="4"/>
  <c r="Z5" i="4"/>
  <c r="Z18" i="4"/>
  <c r="Z3" i="4"/>
  <c r="Z6" i="4"/>
  <c r="Z57" i="4"/>
  <c r="Z49" i="58"/>
  <c r="Z25" i="4"/>
  <c r="Z50" i="4"/>
  <c r="Z38" i="58"/>
  <c r="Z46" i="4"/>
  <c r="Z32" i="4"/>
  <c r="Z55" i="4"/>
  <c r="Z11" i="4"/>
  <c r="Z37" i="58"/>
  <c r="Z52" i="58"/>
  <c r="Z4" i="58"/>
  <c r="Z16" i="58"/>
  <c r="Z15" i="58"/>
  <c r="Z31" i="58"/>
  <c r="Z28" i="58"/>
  <c r="Z47" i="58"/>
  <c r="Z19" i="58"/>
  <c r="Z58" i="58"/>
  <c r="Z10" i="58"/>
  <c r="Z11" i="58"/>
  <c r="Z7" i="58"/>
  <c r="Z55" i="58"/>
  <c r="Z18" i="58"/>
  <c r="Z20" i="58"/>
  <c r="Z6" i="58"/>
  <c r="Z26" i="58"/>
  <c r="Z46" i="58"/>
  <c r="Z40" i="4"/>
  <c r="Z12" i="4"/>
  <c r="Z45" i="4"/>
  <c r="Z60" i="4"/>
  <c r="Z31" i="4"/>
  <c r="Z5" i="58"/>
  <c r="Z29" i="58"/>
  <c r="Z36" i="58"/>
  <c r="Z9" i="58"/>
  <c r="Z3" i="58"/>
  <c r="Z41" i="58"/>
  <c r="Z12" i="58"/>
  <c r="Z24" i="58"/>
  <c r="Z30" i="58"/>
  <c r="Z45" i="58"/>
  <c r="Z42" i="58"/>
  <c r="Z60" i="58"/>
  <c r="Z61" i="58"/>
  <c r="Z21" i="58"/>
  <c r="Z69" i="4"/>
  <c r="Z39" i="4"/>
  <c r="Z61" i="4"/>
  <c r="Z41" i="4"/>
  <c r="Z34" i="4"/>
  <c r="Z15" i="4"/>
  <c r="Z7" i="4"/>
  <c r="Z28" i="4"/>
  <c r="Z24" i="4"/>
  <c r="Z30" i="4"/>
  <c r="Z53" i="4"/>
  <c r="Z50" i="58"/>
  <c r="W13" i="58"/>
  <c r="W41" i="4"/>
  <c r="W15" i="4"/>
  <c r="W24" i="4"/>
  <c r="W41" i="58"/>
  <c r="W24" i="58"/>
  <c r="W18" i="58"/>
  <c r="W46" i="58"/>
  <c r="W25" i="4"/>
  <c r="W22" i="58"/>
  <c r="W50" i="58"/>
  <c r="W14" i="58"/>
  <c r="W43" i="4"/>
  <c r="W52" i="4"/>
  <c r="W13" i="4"/>
  <c r="W20" i="4"/>
  <c r="W21" i="4"/>
  <c r="W4" i="4"/>
  <c r="W5" i="58"/>
  <c r="W52" i="58"/>
  <c r="W4" i="58"/>
  <c r="W15" i="58"/>
  <c r="W31" i="58"/>
  <c r="W47" i="58"/>
  <c r="W58" i="58"/>
  <c r="W55" i="58"/>
  <c r="W40" i="4"/>
  <c r="W69" i="4"/>
  <c r="W28" i="4"/>
  <c r="W30" i="4"/>
  <c r="W30" i="58"/>
  <c r="W61" i="58"/>
  <c r="W29" i="4"/>
  <c r="W42" i="4"/>
  <c r="W10" i="4"/>
  <c r="W5" i="4"/>
  <c r="W18" i="4"/>
  <c r="W3" i="4"/>
  <c r="W6" i="4"/>
  <c r="W37" i="58"/>
  <c r="W36" i="58"/>
  <c r="W3" i="58"/>
  <c r="W12" i="58"/>
  <c r="W45" i="58"/>
  <c r="W60" i="58"/>
  <c r="W21" i="58"/>
  <c r="W10" i="58"/>
  <c r="W53" i="58"/>
  <c r="W49" i="58"/>
  <c r="W50" i="4"/>
  <c r="W51" i="58"/>
  <c r="W40" i="58"/>
  <c r="W39" i="4"/>
  <c r="W61" i="4"/>
  <c r="W34" i="4"/>
  <c r="W7" i="4"/>
  <c r="W53" i="4"/>
  <c r="W9" i="58"/>
  <c r="W42" i="58"/>
  <c r="W7" i="58"/>
  <c r="W46" i="4"/>
  <c r="W12" i="4"/>
  <c r="W32" i="4"/>
  <c r="W45" i="4"/>
  <c r="W55" i="4"/>
  <c r="W60" i="4"/>
  <c r="W11" i="4"/>
  <c r="W31" i="4"/>
  <c r="W57" i="4"/>
  <c r="W29" i="58"/>
  <c r="W16" i="58"/>
  <c r="W28" i="58"/>
  <c r="W19" i="58"/>
  <c r="W11" i="58"/>
  <c r="W20" i="58"/>
  <c r="W26" i="58"/>
  <c r="W38" i="58"/>
  <c r="W14" i="4"/>
  <c r="X4" i="4"/>
  <c r="X13" i="4"/>
  <c r="X43" i="4"/>
  <c r="X21" i="4"/>
  <c r="X20" i="4"/>
  <c r="X52" i="4"/>
  <c r="X60" i="58"/>
  <c r="X42" i="58"/>
  <c r="X61" i="58"/>
  <c r="X21" i="58"/>
  <c r="X10" i="58"/>
  <c r="X7" i="58"/>
  <c r="X18" i="58"/>
  <c r="X53" i="58"/>
  <c r="X46" i="58"/>
  <c r="X25" i="4"/>
  <c r="X50" i="58"/>
  <c r="X13" i="58"/>
  <c r="X29" i="4"/>
  <c r="X42" i="4"/>
  <c r="X18" i="4"/>
  <c r="X3" i="4"/>
  <c r="X9" i="58"/>
  <c r="X41" i="58"/>
  <c r="X24" i="58"/>
  <c r="X30" i="58"/>
  <c r="X45" i="58"/>
  <c r="X46" i="4"/>
  <c r="X12" i="4"/>
  <c r="X32" i="4"/>
  <c r="X45" i="4"/>
  <c r="X55" i="4"/>
  <c r="X60" i="4"/>
  <c r="X11" i="4"/>
  <c r="X31" i="4"/>
  <c r="X57" i="4"/>
  <c r="X38" i="58"/>
  <c r="X40" i="4"/>
  <c r="X14" i="4"/>
  <c r="X51" i="58"/>
  <c r="X10" i="4"/>
  <c r="X5" i="4"/>
  <c r="X6" i="4"/>
  <c r="X37" i="58"/>
  <c r="X36" i="58"/>
  <c r="X3" i="58"/>
  <c r="X12" i="58"/>
  <c r="X69" i="4"/>
  <c r="X39" i="4"/>
  <c r="X61" i="4"/>
  <c r="X41" i="4"/>
  <c r="X34" i="4"/>
  <c r="X15" i="4"/>
  <c r="X7" i="4"/>
  <c r="X28" i="4"/>
  <c r="X24" i="4"/>
  <c r="X30" i="4"/>
  <c r="X53" i="4"/>
  <c r="X5" i="58"/>
  <c r="X29" i="58"/>
  <c r="X52" i="58"/>
  <c r="X4" i="58"/>
  <c r="X16" i="58"/>
  <c r="X15" i="58"/>
  <c r="X31" i="58"/>
  <c r="X28" i="58"/>
  <c r="X47" i="58"/>
  <c r="X19" i="58"/>
  <c r="X58" i="58"/>
  <c r="X11" i="58"/>
  <c r="X55" i="58"/>
  <c r="X20" i="58"/>
  <c r="X26" i="58"/>
  <c r="X49" i="58"/>
  <c r="X22" i="58"/>
  <c r="X14" i="58"/>
  <c r="X50" i="4"/>
  <c r="V14" i="4"/>
  <c r="V14" i="58"/>
  <c r="V32" i="4"/>
  <c r="V55" i="4"/>
  <c r="V41" i="58"/>
  <c r="V42" i="58"/>
  <c r="V7" i="58"/>
  <c r="V22" i="58"/>
  <c r="V69" i="4"/>
  <c r="V39" i="4"/>
  <c r="V61" i="4"/>
  <c r="V41" i="4"/>
  <c r="V34" i="4"/>
  <c r="V15" i="4"/>
  <c r="V7" i="4"/>
  <c r="V28" i="4"/>
  <c r="V24" i="4"/>
  <c r="V30" i="4"/>
  <c r="V53" i="4"/>
  <c r="V29" i="58"/>
  <c r="V16" i="58"/>
  <c r="V28" i="58"/>
  <c r="V19" i="58"/>
  <c r="V11" i="58"/>
  <c r="V20" i="58"/>
  <c r="V26" i="58"/>
  <c r="V49" i="58"/>
  <c r="V25" i="4"/>
  <c r="V50" i="4"/>
  <c r="V38" i="58"/>
  <c r="V46" i="4"/>
  <c r="V11" i="4"/>
  <c r="V43" i="4"/>
  <c r="V52" i="4"/>
  <c r="V13" i="4"/>
  <c r="V20" i="4"/>
  <c r="V21" i="4"/>
  <c r="V4" i="4"/>
  <c r="V37" i="58"/>
  <c r="V36" i="58"/>
  <c r="V3" i="58"/>
  <c r="V12" i="58"/>
  <c r="V45" i="58"/>
  <c r="V60" i="58"/>
  <c r="V21" i="58"/>
  <c r="V10" i="58"/>
  <c r="V53" i="58"/>
  <c r="V40" i="4"/>
  <c r="V12" i="4"/>
  <c r="V45" i="4"/>
  <c r="V60" i="4"/>
  <c r="V31" i="4"/>
  <c r="V9" i="58"/>
  <c r="V24" i="58"/>
  <c r="V30" i="58"/>
  <c r="V61" i="58"/>
  <c r="V18" i="58"/>
  <c r="V46" i="58"/>
  <c r="V29" i="4"/>
  <c r="V42" i="4"/>
  <c r="V10" i="4"/>
  <c r="V5" i="4"/>
  <c r="V18" i="4"/>
  <c r="V3" i="4"/>
  <c r="V6" i="4"/>
  <c r="V57" i="4"/>
  <c r="V5" i="58"/>
  <c r="V52" i="58"/>
  <c r="V4" i="58"/>
  <c r="V15" i="58"/>
  <c r="V31" i="58"/>
  <c r="V47" i="58"/>
  <c r="V58" i="58"/>
  <c r="V55" i="58"/>
  <c r="V50" i="58"/>
  <c r="U40" i="4"/>
  <c r="U14" i="58"/>
  <c r="U46" i="4"/>
  <c r="U12" i="4"/>
  <c r="U32" i="4"/>
  <c r="U60" i="4"/>
  <c r="U31" i="4"/>
  <c r="U41" i="4"/>
  <c r="U34" i="4"/>
  <c r="U7" i="4"/>
  <c r="U30" i="4"/>
  <c r="U29" i="58"/>
  <c r="U36" i="58"/>
  <c r="U9" i="58"/>
  <c r="U16" i="58"/>
  <c r="U15" i="58"/>
  <c r="U24" i="58"/>
  <c r="U31" i="58"/>
  <c r="U30" i="58"/>
  <c r="U45" i="58"/>
  <c r="U28" i="58"/>
  <c r="U42" i="58"/>
  <c r="U60" i="58"/>
  <c r="U61" i="58"/>
  <c r="U47" i="58"/>
  <c r="U21" i="58"/>
  <c r="U19" i="58"/>
  <c r="U58" i="58"/>
  <c r="U10" i="58"/>
  <c r="U11" i="58"/>
  <c r="U7" i="58"/>
  <c r="U55" i="58"/>
  <c r="U18" i="58"/>
  <c r="U20" i="58"/>
  <c r="U53" i="58"/>
  <c r="U26" i="58"/>
  <c r="U46" i="58"/>
  <c r="U49" i="58"/>
  <c r="U50" i="4"/>
  <c r="U55" i="4"/>
  <c r="U39" i="4"/>
  <c r="U61" i="4"/>
  <c r="U24" i="4"/>
  <c r="U5" i="58"/>
  <c r="U12" i="58"/>
  <c r="U43" i="4"/>
  <c r="U52" i="4"/>
  <c r="U13" i="4"/>
  <c r="U20" i="4"/>
  <c r="U21" i="4"/>
  <c r="U4" i="4"/>
  <c r="U38" i="58"/>
  <c r="U14" i="4"/>
  <c r="U45" i="4"/>
  <c r="U11" i="4"/>
  <c r="U57" i="4"/>
  <c r="U69" i="4"/>
  <c r="U15" i="4"/>
  <c r="U28" i="4"/>
  <c r="U53" i="4"/>
  <c r="U37" i="58"/>
  <c r="U52" i="58"/>
  <c r="U4" i="58"/>
  <c r="U3" i="58"/>
  <c r="U41" i="58"/>
  <c r="U29" i="4"/>
  <c r="U42" i="4"/>
  <c r="U10" i="4"/>
  <c r="U5" i="4"/>
  <c r="U18" i="4"/>
  <c r="U3" i="4"/>
  <c r="U6" i="4"/>
  <c r="U25" i="4"/>
  <c r="U22" i="58"/>
  <c r="U50" i="58"/>
  <c r="Y14" i="4"/>
  <c r="Y50" i="4"/>
  <c r="Y39" i="4"/>
  <c r="Y61" i="4"/>
  <c r="Y34" i="4"/>
  <c r="Y7" i="4"/>
  <c r="Y24" i="4"/>
  <c r="Y53" i="4"/>
  <c r="Y5" i="58"/>
  <c r="Y4" i="58"/>
  <c r="Y31" i="58"/>
  <c r="Y47" i="58"/>
  <c r="Y22" i="58"/>
  <c r="Y14" i="58"/>
  <c r="Y43" i="4"/>
  <c r="Y52" i="4"/>
  <c r="Y13" i="4"/>
  <c r="Y20" i="4"/>
  <c r="Y21" i="4"/>
  <c r="Y4" i="4"/>
  <c r="Y37" i="58"/>
  <c r="Y36" i="58"/>
  <c r="Y3" i="58"/>
  <c r="Y12" i="58"/>
  <c r="Y45" i="58"/>
  <c r="Y60" i="58"/>
  <c r="Y21" i="58"/>
  <c r="Y10" i="58"/>
  <c r="Y53" i="58"/>
  <c r="Y50" i="58"/>
  <c r="Y69" i="4"/>
  <c r="Y41" i="4"/>
  <c r="Y15" i="4"/>
  <c r="Y28" i="4"/>
  <c r="Y30" i="4"/>
  <c r="Y52" i="58"/>
  <c r="Y15" i="58"/>
  <c r="Y58" i="58"/>
  <c r="Y55" i="58"/>
  <c r="Y29" i="4"/>
  <c r="Y42" i="4"/>
  <c r="Y10" i="4"/>
  <c r="Y5" i="4"/>
  <c r="Y18" i="4"/>
  <c r="Y3" i="4"/>
  <c r="Y6" i="4"/>
  <c r="Y57" i="4"/>
  <c r="Y29" i="58"/>
  <c r="Y16" i="58"/>
  <c r="Y28" i="58"/>
  <c r="Y19" i="58"/>
  <c r="Y11" i="58"/>
  <c r="Y20" i="58"/>
  <c r="Y26" i="58"/>
  <c r="Y46" i="4"/>
  <c r="Y12" i="4"/>
  <c r="Y32" i="4"/>
  <c r="Y45" i="4"/>
  <c r="Y55" i="4"/>
  <c r="Y60" i="4"/>
  <c r="Y11" i="4"/>
  <c r="Y31" i="4"/>
  <c r="Y9" i="58"/>
  <c r="Y41" i="58"/>
  <c r="Y24" i="58"/>
  <c r="Y30" i="58"/>
  <c r="Y42" i="58"/>
  <c r="Y61" i="58"/>
  <c r="Y7" i="58"/>
  <c r="Y18" i="58"/>
  <c r="Y46" i="58"/>
  <c r="Y49" i="58"/>
  <c r="Y25" i="4"/>
  <c r="T46" i="4"/>
  <c r="T41" i="58"/>
  <c r="T12" i="58"/>
  <c r="T30" i="58"/>
  <c r="T45" i="58"/>
  <c r="T42" i="58"/>
  <c r="T60" i="58"/>
  <c r="T61" i="58"/>
  <c r="T21" i="58"/>
  <c r="T10" i="58"/>
  <c r="T7" i="58"/>
  <c r="T18" i="58"/>
  <c r="T53" i="58"/>
  <c r="T46" i="58"/>
  <c r="T25" i="4"/>
  <c r="T50" i="58"/>
  <c r="T55" i="4"/>
  <c r="T39" i="4"/>
  <c r="T41" i="4"/>
  <c r="T34" i="4"/>
  <c r="T7" i="4"/>
  <c r="T24" i="4"/>
  <c r="T53" i="4"/>
  <c r="T3" i="58"/>
  <c r="T24" i="58"/>
  <c r="T43" i="4"/>
  <c r="T52" i="4"/>
  <c r="T13" i="4"/>
  <c r="T20" i="4"/>
  <c r="T21" i="4"/>
  <c r="T4" i="4"/>
  <c r="T45" i="4"/>
  <c r="T69" i="4"/>
  <c r="T61" i="4"/>
  <c r="T15" i="4"/>
  <c r="T28" i="4"/>
  <c r="T30" i="4"/>
  <c r="T37" i="58"/>
  <c r="T36" i="58"/>
  <c r="T9" i="58"/>
  <c r="T29" i="4"/>
  <c r="T42" i="4"/>
  <c r="T10" i="4"/>
  <c r="T5" i="4"/>
  <c r="T18" i="4"/>
  <c r="T3" i="4"/>
  <c r="T6" i="4"/>
  <c r="T5" i="58"/>
  <c r="T29" i="58"/>
  <c r="T52" i="58"/>
  <c r="T4" i="58"/>
  <c r="T16" i="58"/>
  <c r="T15" i="58"/>
  <c r="T31" i="58"/>
  <c r="T28" i="58"/>
  <c r="T47" i="58"/>
  <c r="T19" i="58"/>
  <c r="T58" i="58"/>
  <c r="T11" i="58"/>
  <c r="T55" i="58"/>
  <c r="T20" i="58"/>
  <c r="T26" i="58"/>
  <c r="T49" i="58"/>
  <c r="T22" i="58"/>
  <c r="T14" i="58"/>
  <c r="T50" i="4"/>
  <c r="T12" i="4"/>
  <c r="T32" i="4"/>
  <c r="T60" i="4"/>
  <c r="T11" i="4"/>
  <c r="T31" i="4"/>
  <c r="T57" i="4"/>
  <c r="S4" i="4"/>
  <c r="S20" i="4"/>
  <c r="S52" i="4"/>
  <c r="S5" i="58"/>
  <c r="S52" i="58"/>
  <c r="S4" i="58"/>
  <c r="S15" i="58"/>
  <c r="S31" i="58"/>
  <c r="S47" i="58"/>
  <c r="S58" i="58"/>
  <c r="S55" i="58"/>
  <c r="S29" i="4"/>
  <c r="S42" i="4"/>
  <c r="S10" i="4"/>
  <c r="S5" i="4"/>
  <c r="S18" i="4"/>
  <c r="S3" i="4"/>
  <c r="S6" i="4"/>
  <c r="S9" i="58"/>
  <c r="S41" i="58"/>
  <c r="S24" i="58"/>
  <c r="S30" i="58"/>
  <c r="S42" i="58"/>
  <c r="S61" i="58"/>
  <c r="S7" i="58"/>
  <c r="S18" i="58"/>
  <c r="S46" i="58"/>
  <c r="S50" i="58"/>
  <c r="S43" i="4"/>
  <c r="S13" i="4"/>
  <c r="S21" i="4"/>
  <c r="S57" i="4"/>
  <c r="S12" i="4"/>
  <c r="S32" i="4"/>
  <c r="S55" i="4"/>
  <c r="S11" i="4"/>
  <c r="S28" i="58"/>
  <c r="S20" i="58"/>
  <c r="S22" i="58"/>
  <c r="S14" i="58"/>
  <c r="S46" i="4"/>
  <c r="S45" i="4"/>
  <c r="S60" i="4"/>
  <c r="S31" i="4"/>
  <c r="S29" i="58"/>
  <c r="S16" i="58"/>
  <c r="S19" i="58"/>
  <c r="S11" i="58"/>
  <c r="S26" i="58"/>
  <c r="S69" i="4"/>
  <c r="S39" i="4"/>
  <c r="S61" i="4"/>
  <c r="S41" i="4"/>
  <c r="S34" i="4"/>
  <c r="S15" i="4"/>
  <c r="S7" i="4"/>
  <c r="S28" i="4"/>
  <c r="S24" i="4"/>
  <c r="S30" i="4"/>
  <c r="S53" i="4"/>
  <c r="S37" i="58"/>
  <c r="S36" i="58"/>
  <c r="S3" i="58"/>
  <c r="S12" i="58"/>
  <c r="S45" i="58"/>
  <c r="S60" i="58"/>
  <c r="S21" i="58"/>
  <c r="S10" i="58"/>
  <c r="S53" i="58"/>
  <c r="S49" i="58"/>
  <c r="S25" i="4"/>
  <c r="R46" i="58"/>
  <c r="R26" i="58"/>
  <c r="R53" i="58"/>
  <c r="R20" i="58"/>
  <c r="R18" i="58"/>
  <c r="R55" i="58"/>
  <c r="R7" i="58"/>
  <c r="R11" i="58"/>
  <c r="R10" i="58"/>
  <c r="R58" i="58"/>
  <c r="R19" i="58"/>
  <c r="R21" i="58"/>
  <c r="R47" i="58"/>
  <c r="R61" i="58"/>
  <c r="R60" i="58"/>
  <c r="R42" i="58"/>
  <c r="R28" i="58"/>
  <c r="R45" i="58"/>
  <c r="R30" i="58"/>
  <c r="R31" i="58"/>
  <c r="R24" i="58"/>
  <c r="R12" i="58"/>
  <c r="R15" i="58"/>
  <c r="R41" i="58"/>
  <c r="R16" i="58"/>
  <c r="R3" i="58"/>
  <c r="R4" i="58"/>
  <c r="R9" i="58"/>
  <c r="R36" i="58"/>
  <c r="R52" i="58"/>
  <c r="R29" i="58"/>
  <c r="R37" i="58"/>
  <c r="R5" i="58"/>
  <c r="R31" i="4"/>
  <c r="R11" i="4"/>
  <c r="R60" i="4"/>
  <c r="R55" i="4"/>
  <c r="R45" i="4"/>
  <c r="R32" i="4"/>
  <c r="R12" i="4"/>
  <c r="R14" i="58"/>
  <c r="R50" i="58"/>
  <c r="R22" i="58"/>
  <c r="R25" i="4"/>
  <c r="R57" i="4"/>
  <c r="R6" i="4"/>
  <c r="R3" i="4"/>
  <c r="R18" i="4"/>
  <c r="R5" i="4"/>
  <c r="R4" i="4"/>
  <c r="R21" i="4"/>
  <c r="R20" i="4"/>
  <c r="R13" i="4"/>
  <c r="R52" i="4"/>
  <c r="R43" i="4"/>
  <c r="R69" i="4"/>
  <c r="R46" i="4"/>
  <c r="R61" i="4"/>
  <c r="R34" i="4"/>
  <c r="R24" i="4"/>
  <c r="R42" i="4"/>
  <c r="R15" i="4"/>
  <c r="R30" i="4"/>
  <c r="R41" i="4"/>
  <c r="R7" i="4"/>
  <c r="R53" i="4"/>
  <c r="R39" i="4"/>
  <c r="R29" i="4"/>
  <c r="R10" i="4"/>
  <c r="R28" i="4"/>
  <c r="R49" i="58"/>
  <c r="Q36" i="58"/>
  <c r="Q42" i="4"/>
  <c r="Q18" i="4"/>
  <c r="Q12" i="58"/>
  <c r="Q21" i="58"/>
  <c r="Q10" i="4"/>
  <c r="Q5" i="4"/>
  <c r="Q37" i="58"/>
  <c r="Q45" i="58"/>
  <c r="Q53" i="58"/>
  <c r="Q29" i="4"/>
  <c r="Q3" i="4"/>
  <c r="Q50" i="58"/>
  <c r="Q6" i="4"/>
  <c r="Q3" i="58"/>
  <c r="Q60" i="58"/>
  <c r="Q10" i="58"/>
  <c r="Q46" i="4"/>
  <c r="Q12" i="4"/>
  <c r="Q32" i="4"/>
  <c r="Q45" i="4"/>
  <c r="Q55" i="4"/>
  <c r="Q60" i="4"/>
  <c r="Q11" i="4"/>
  <c r="Q31" i="4"/>
  <c r="Q57" i="4"/>
  <c r="Q29" i="58"/>
  <c r="Q16" i="58"/>
  <c r="Q28" i="58"/>
  <c r="Q19" i="58"/>
  <c r="Q11" i="58"/>
  <c r="Q20" i="58"/>
  <c r="Q26" i="58"/>
  <c r="Q49" i="58"/>
  <c r="Q25" i="4"/>
  <c r="Q69" i="4"/>
  <c r="Q39" i="4"/>
  <c r="Q61" i="4"/>
  <c r="Q41" i="4"/>
  <c r="Q34" i="4"/>
  <c r="Q15" i="4"/>
  <c r="Q7" i="4"/>
  <c r="Q28" i="4"/>
  <c r="Q24" i="4"/>
  <c r="Q30" i="4"/>
  <c r="Q53" i="4"/>
  <c r="Q9" i="58"/>
  <c r="Q41" i="58"/>
  <c r="Q24" i="58"/>
  <c r="Q30" i="58"/>
  <c r="Q42" i="58"/>
  <c r="Q61" i="58"/>
  <c r="Q7" i="58"/>
  <c r="Q18" i="58"/>
  <c r="Q46" i="58"/>
  <c r="Q22" i="58"/>
  <c r="Q14" i="58"/>
  <c r="Q43" i="4"/>
  <c r="Q52" i="4"/>
  <c r="Q13" i="4"/>
  <c r="Q20" i="4"/>
  <c r="Q21" i="4"/>
  <c r="Q4" i="4"/>
  <c r="Q5" i="58"/>
  <c r="Q52" i="58"/>
  <c r="Q4" i="58"/>
  <c r="Q15" i="58"/>
  <c r="Q31" i="58"/>
  <c r="Q47" i="58"/>
  <c r="Q58" i="58"/>
  <c r="Q55" i="58"/>
  <c r="P32" i="4"/>
  <c r="P60" i="4"/>
  <c r="P31" i="4"/>
  <c r="P52" i="58"/>
  <c r="P4" i="58"/>
  <c r="P19" i="58"/>
  <c r="P11" i="58"/>
  <c r="P49" i="58"/>
  <c r="P43" i="4"/>
  <c r="P52" i="4"/>
  <c r="P13" i="4"/>
  <c r="P20" i="4"/>
  <c r="P21" i="4"/>
  <c r="P4" i="4"/>
  <c r="P37" i="58"/>
  <c r="P36" i="58"/>
  <c r="P9" i="58"/>
  <c r="P3" i="58"/>
  <c r="P41" i="58"/>
  <c r="P12" i="58"/>
  <c r="P24" i="58"/>
  <c r="P30" i="58"/>
  <c r="P45" i="58"/>
  <c r="P42" i="58"/>
  <c r="P60" i="58"/>
  <c r="P61" i="58"/>
  <c r="P21" i="58"/>
  <c r="P10" i="58"/>
  <c r="P7" i="58"/>
  <c r="P18" i="58"/>
  <c r="P53" i="58"/>
  <c r="P46" i="58"/>
  <c r="P25" i="4"/>
  <c r="P50" i="58"/>
  <c r="P12" i="4"/>
  <c r="P55" i="4"/>
  <c r="P5" i="58"/>
  <c r="P15" i="58"/>
  <c r="P31" i="58"/>
  <c r="P28" i="58"/>
  <c r="P47" i="58"/>
  <c r="P29" i="4"/>
  <c r="P42" i="4"/>
  <c r="P10" i="4"/>
  <c r="P5" i="4"/>
  <c r="P18" i="4"/>
  <c r="P3" i="4"/>
  <c r="P6" i="4"/>
  <c r="P22" i="58"/>
  <c r="P46" i="4"/>
  <c r="P45" i="4"/>
  <c r="P11" i="4"/>
  <c r="P29" i="58"/>
  <c r="P16" i="58"/>
  <c r="P58" i="58"/>
  <c r="P55" i="58"/>
  <c r="P20" i="58"/>
  <c r="P26" i="58"/>
  <c r="P69" i="4"/>
  <c r="P39" i="4"/>
  <c r="P61" i="4"/>
  <c r="P41" i="4"/>
  <c r="P34" i="4"/>
  <c r="P15" i="4"/>
  <c r="P7" i="4"/>
  <c r="P28" i="4"/>
  <c r="P24" i="4"/>
  <c r="P30" i="4"/>
  <c r="P53" i="4"/>
  <c r="P57" i="4"/>
  <c r="N50" i="58"/>
  <c r="N69" i="4"/>
  <c r="N39" i="4"/>
  <c r="N61" i="4"/>
  <c r="N41" i="4"/>
  <c r="N34" i="4"/>
  <c r="N15" i="4"/>
  <c r="N7" i="4"/>
  <c r="N28" i="4"/>
  <c r="N24" i="4"/>
  <c r="N30" i="4"/>
  <c r="N53" i="4"/>
  <c r="N37" i="58"/>
  <c r="N36" i="58"/>
  <c r="N3" i="58"/>
  <c r="N12" i="58"/>
  <c r="N45" i="58"/>
  <c r="N60" i="58"/>
  <c r="N21" i="58"/>
  <c r="N10" i="58"/>
  <c r="N53" i="58"/>
  <c r="N49" i="58"/>
  <c r="N22" i="58"/>
  <c r="N43" i="4"/>
  <c r="N52" i="4"/>
  <c r="N13" i="4"/>
  <c r="N20" i="4"/>
  <c r="N21" i="4"/>
  <c r="N4" i="4"/>
  <c r="N57" i="4"/>
  <c r="N5" i="58"/>
  <c r="N52" i="58"/>
  <c r="N4" i="58"/>
  <c r="N15" i="58"/>
  <c r="N31" i="58"/>
  <c r="N47" i="58"/>
  <c r="N58" i="58"/>
  <c r="N55" i="58"/>
  <c r="N25" i="4"/>
  <c r="N29" i="4"/>
  <c r="N42" i="4"/>
  <c r="N10" i="4"/>
  <c r="N5" i="4"/>
  <c r="N18" i="4"/>
  <c r="N3" i="4"/>
  <c r="N6" i="4"/>
  <c r="N9" i="58"/>
  <c r="N41" i="58"/>
  <c r="N24" i="58"/>
  <c r="N30" i="58"/>
  <c r="N42" i="58"/>
  <c r="N61" i="58"/>
  <c r="N7" i="58"/>
  <c r="N18" i="58"/>
  <c r="N46" i="58"/>
  <c r="N46" i="4"/>
  <c r="N12" i="4"/>
  <c r="N32" i="4"/>
  <c r="N45" i="4"/>
  <c r="N55" i="4"/>
  <c r="N60" i="4"/>
  <c r="N11" i="4"/>
  <c r="N31" i="4"/>
  <c r="N29" i="58"/>
  <c r="N16" i="58"/>
  <c r="N28" i="58"/>
  <c r="N19" i="58"/>
  <c r="N11" i="58"/>
  <c r="N20" i="58"/>
  <c r="N26" i="58"/>
  <c r="O4" i="4"/>
  <c r="O3" i="4"/>
  <c r="O46" i="58"/>
  <c r="O26" i="58"/>
  <c r="O53" i="58"/>
  <c r="O20" i="58"/>
  <c r="O18" i="58"/>
  <c r="O55" i="58"/>
  <c r="O7" i="58"/>
  <c r="O11" i="58"/>
  <c r="O10" i="58"/>
  <c r="O58" i="58"/>
  <c r="O19" i="58"/>
  <c r="O21" i="58"/>
  <c r="O47" i="58"/>
  <c r="O61" i="58"/>
  <c r="O60" i="58"/>
  <c r="O42" i="58"/>
  <c r="O28" i="58"/>
  <c r="O45" i="58"/>
  <c r="O30" i="58"/>
  <c r="O31" i="58"/>
  <c r="O24" i="58"/>
  <c r="O12" i="58"/>
  <c r="O15" i="58"/>
  <c r="O41" i="58"/>
  <c r="O16" i="58"/>
  <c r="O3" i="58"/>
  <c r="O4" i="58"/>
  <c r="O10" i="4"/>
  <c r="O5" i="4"/>
  <c r="O29" i="4"/>
  <c r="O6" i="4"/>
  <c r="O5" i="58"/>
  <c r="O37" i="58"/>
  <c r="O29" i="58"/>
  <c r="O52" i="58"/>
  <c r="O36" i="58"/>
  <c r="O9" i="58"/>
  <c r="O42" i="4"/>
  <c r="O18" i="4"/>
  <c r="O46" i="4"/>
  <c r="O12" i="4"/>
  <c r="O32" i="4"/>
  <c r="O45" i="4"/>
  <c r="O55" i="4"/>
  <c r="O60" i="4"/>
  <c r="O11" i="4"/>
  <c r="O31" i="4"/>
  <c r="O57" i="4"/>
  <c r="O49" i="58"/>
  <c r="O69" i="4"/>
  <c r="O39" i="4"/>
  <c r="O61" i="4"/>
  <c r="O41" i="4"/>
  <c r="O34" i="4"/>
  <c r="O15" i="4"/>
  <c r="O7" i="4"/>
  <c r="O28" i="4"/>
  <c r="O24" i="4"/>
  <c r="O30" i="4"/>
  <c r="O53" i="4"/>
  <c r="O43" i="4"/>
  <c r="O52" i="4"/>
  <c r="O13" i="4"/>
  <c r="O20" i="4"/>
  <c r="O21" i="4"/>
  <c r="M21" i="4"/>
  <c r="M46" i="4"/>
  <c r="M32" i="4"/>
  <c r="M55" i="4"/>
  <c r="M11" i="4"/>
  <c r="M31" i="4"/>
  <c r="M37" i="58"/>
  <c r="M36" i="58"/>
  <c r="M12" i="58"/>
  <c r="M45" i="58"/>
  <c r="M21" i="58"/>
  <c r="M39" i="4"/>
  <c r="M41" i="4"/>
  <c r="M7" i="4"/>
  <c r="M24" i="4"/>
  <c r="M53" i="4"/>
  <c r="M57" i="4"/>
  <c r="M29" i="58"/>
  <c r="M16" i="58"/>
  <c r="M28" i="58"/>
  <c r="M19" i="58"/>
  <c r="M11" i="58"/>
  <c r="M20" i="58"/>
  <c r="M26" i="58"/>
  <c r="M53" i="58"/>
  <c r="M69" i="4"/>
  <c r="M61" i="4"/>
  <c r="M15" i="4"/>
  <c r="M28" i="4"/>
  <c r="M30" i="4"/>
  <c r="M43" i="4"/>
  <c r="M52" i="4"/>
  <c r="M13" i="4"/>
  <c r="M20" i="4"/>
  <c r="M4" i="4"/>
  <c r="M9" i="58"/>
  <c r="M41" i="58"/>
  <c r="M24" i="58"/>
  <c r="M30" i="58"/>
  <c r="M42" i="58"/>
  <c r="M61" i="58"/>
  <c r="M7" i="58"/>
  <c r="M18" i="58"/>
  <c r="M46" i="58"/>
  <c r="M12" i="4"/>
  <c r="M45" i="4"/>
  <c r="M60" i="4"/>
  <c r="M3" i="58"/>
  <c r="M60" i="58"/>
  <c r="M10" i="58"/>
  <c r="M34" i="4"/>
  <c r="M29" i="4"/>
  <c r="M42" i="4"/>
  <c r="M10" i="4"/>
  <c r="M5" i="4"/>
  <c r="M18" i="4"/>
  <c r="M3" i="4"/>
  <c r="M6" i="4"/>
  <c r="M5" i="58"/>
  <c r="M52" i="58"/>
  <c r="M4" i="58"/>
  <c r="M15" i="58"/>
  <c r="M31" i="58"/>
  <c r="M47" i="58"/>
  <c r="M58" i="58"/>
  <c r="M55" i="58"/>
  <c r="K26" i="58"/>
  <c r="K46" i="4"/>
  <c r="K11" i="4"/>
  <c r="K39" i="4"/>
  <c r="K61" i="4"/>
  <c r="K34" i="4"/>
  <c r="K28" i="4"/>
  <c r="K53" i="4"/>
  <c r="K57" i="4"/>
  <c r="K12" i="4"/>
  <c r="K32" i="4"/>
  <c r="K55" i="4"/>
  <c r="K41" i="4"/>
  <c r="K7" i="4"/>
  <c r="K24" i="4"/>
  <c r="K43" i="4"/>
  <c r="K52" i="4"/>
  <c r="K13" i="4"/>
  <c r="K20" i="4"/>
  <c r="K21" i="4"/>
  <c r="K4" i="4"/>
  <c r="K37" i="58"/>
  <c r="K36" i="58"/>
  <c r="K9" i="58"/>
  <c r="K3" i="58"/>
  <c r="K41" i="58"/>
  <c r="K12" i="58"/>
  <c r="K24" i="58"/>
  <c r="K30" i="58"/>
  <c r="K45" i="58"/>
  <c r="K42" i="58"/>
  <c r="K60" i="58"/>
  <c r="K61" i="58"/>
  <c r="K21" i="58"/>
  <c r="K10" i="58"/>
  <c r="K7" i="58"/>
  <c r="K18" i="58"/>
  <c r="K53" i="58"/>
  <c r="K46" i="58"/>
  <c r="K45" i="4"/>
  <c r="K60" i="4"/>
  <c r="K31" i="4"/>
  <c r="K69" i="4"/>
  <c r="K15" i="4"/>
  <c r="K30" i="4"/>
  <c r="K29" i="4"/>
  <c r="K42" i="4"/>
  <c r="K10" i="4"/>
  <c r="K5" i="4"/>
  <c r="K18" i="4"/>
  <c r="K3" i="4"/>
  <c r="K6" i="4"/>
  <c r="K5" i="58"/>
  <c r="K29" i="58"/>
  <c r="K52" i="58"/>
  <c r="K4" i="58"/>
  <c r="K16" i="58"/>
  <c r="K15" i="58"/>
  <c r="K31" i="58"/>
  <c r="K28" i="58"/>
  <c r="K47" i="58"/>
  <c r="K19" i="58"/>
  <c r="K58" i="58"/>
  <c r="K11" i="58"/>
  <c r="K55" i="58"/>
  <c r="K20" i="58"/>
  <c r="J4" i="4"/>
  <c r="J29" i="4"/>
  <c r="J42" i="4"/>
  <c r="J10" i="4"/>
  <c r="J5" i="4"/>
  <c r="J18" i="4"/>
  <c r="J3" i="4"/>
  <c r="J6" i="4"/>
  <c r="J46" i="4"/>
  <c r="J12" i="4"/>
  <c r="J32" i="4"/>
  <c r="J45" i="4"/>
  <c r="J55" i="4"/>
  <c r="J60" i="4"/>
  <c r="J11" i="4"/>
  <c r="J31" i="4"/>
  <c r="J57" i="4"/>
  <c r="J69" i="4"/>
  <c r="J39" i="4"/>
  <c r="J61" i="4"/>
  <c r="J41" i="4"/>
  <c r="J34" i="4"/>
  <c r="J15" i="4"/>
  <c r="J7" i="4"/>
  <c r="J28" i="4"/>
  <c r="J24" i="4"/>
  <c r="J30" i="4"/>
  <c r="J53" i="4"/>
  <c r="J43" i="4"/>
  <c r="J52" i="4"/>
  <c r="J13" i="4"/>
  <c r="J20" i="4"/>
  <c r="J21" i="4"/>
  <c r="I29" i="4"/>
  <c r="I42" i="4"/>
  <c r="I10" i="4"/>
  <c r="I5" i="4"/>
  <c r="I18" i="4"/>
  <c r="I3" i="4"/>
  <c r="I6" i="4"/>
  <c r="I46" i="4"/>
  <c r="I12" i="4"/>
  <c r="I32" i="4"/>
  <c r="I45" i="4"/>
  <c r="I55" i="4"/>
  <c r="I60" i="4"/>
  <c r="I11" i="4"/>
  <c r="I31" i="4"/>
  <c r="I69" i="4"/>
  <c r="I39" i="4"/>
  <c r="I61" i="4"/>
  <c r="I41" i="4"/>
  <c r="I34" i="4"/>
  <c r="I15" i="4"/>
  <c r="I7" i="4"/>
  <c r="I28" i="4"/>
  <c r="I24" i="4"/>
  <c r="I30" i="4"/>
  <c r="I53" i="4"/>
  <c r="I43" i="4"/>
  <c r="I52" i="4"/>
  <c r="I13" i="4"/>
  <c r="I20" i="4"/>
  <c r="I21" i="4"/>
  <c r="D54" i="4" l="1"/>
  <c r="E54" i="4" s="1" a="1"/>
  <c r="E54" i="4" s="1"/>
  <c r="D63" i="4"/>
  <c r="C63" i="4" s="1"/>
  <c r="D58" i="4"/>
  <c r="E58" i="4" s="1" a="1"/>
  <c r="E58" i="4" s="1"/>
  <c r="D62" i="4"/>
  <c r="C62" i="4" s="1"/>
  <c r="D65" i="4"/>
  <c r="C65" i="4" s="1"/>
  <c r="D64" i="4"/>
  <c r="C64" i="4" s="1"/>
  <c r="D33" i="58"/>
  <c r="E33" i="58" s="1" a="1"/>
  <c r="E33" i="58" s="1"/>
  <c r="D67" i="4"/>
  <c r="C67" i="4" s="1"/>
  <c r="D68" i="4"/>
  <c r="C68" i="4" s="1"/>
  <c r="D66" i="4"/>
  <c r="C66" i="4" s="1"/>
  <c r="E63" i="4" a="1"/>
  <c r="E63" i="4" s="1"/>
  <c r="D34" i="58"/>
  <c r="E34" i="58" s="1" a="1"/>
  <c r="E34" i="58" s="1"/>
  <c r="D23" i="58"/>
  <c r="E23" i="58" s="1" a="1"/>
  <c r="E23" i="58" s="1"/>
  <c r="D49" i="4"/>
  <c r="E49" i="4" s="1" a="1"/>
  <c r="E49" i="4" s="1"/>
  <c r="D22" i="4"/>
  <c r="E22" i="4" s="1" a="1"/>
  <c r="E22" i="4" s="1"/>
  <c r="D48" i="58"/>
  <c r="E48" i="58" s="1" a="1"/>
  <c r="E48" i="58" s="1"/>
  <c r="D26" i="4"/>
  <c r="E26" i="4" s="1" a="1"/>
  <c r="E26" i="4" s="1"/>
  <c r="D38" i="4"/>
  <c r="E38" i="4" s="1" a="1"/>
  <c r="E38" i="4" s="1"/>
  <c r="D17" i="58"/>
  <c r="E17" i="58" s="1" a="1"/>
  <c r="E17" i="58" s="1"/>
  <c r="D47" i="4"/>
  <c r="E47" i="4" s="1" a="1"/>
  <c r="E47" i="4" s="1"/>
  <c r="D51" i="4"/>
  <c r="E51" i="4" s="1" a="1"/>
  <c r="E51" i="4" s="1"/>
  <c r="D17" i="4"/>
  <c r="D19" i="4"/>
  <c r="D27" i="58"/>
  <c r="E27" i="58" s="1" a="1"/>
  <c r="E27" i="58" s="1"/>
  <c r="D16" i="4"/>
  <c r="D43" i="58"/>
  <c r="D8" i="4"/>
  <c r="D56" i="4"/>
  <c r="D39" i="58"/>
  <c r="D8" i="58"/>
  <c r="D35" i="4"/>
  <c r="D12" i="58"/>
  <c r="D40" i="58"/>
  <c r="D50" i="58"/>
  <c r="D36" i="58"/>
  <c r="D35" i="58"/>
  <c r="D26" i="58"/>
  <c r="D54" i="58"/>
  <c r="C54" i="58" s="1"/>
  <c r="D25" i="58"/>
  <c r="D28" i="58"/>
  <c r="D47" i="58"/>
  <c r="D20" i="58"/>
  <c r="D37" i="58"/>
  <c r="D38" i="58"/>
  <c r="D31" i="58"/>
  <c r="D11" i="58"/>
  <c r="D29" i="58"/>
  <c r="D18" i="58"/>
  <c r="D30" i="58"/>
  <c r="D10" i="58"/>
  <c r="D55" i="58"/>
  <c r="C55" i="58" s="1"/>
  <c r="D53" i="58"/>
  <c r="C53" i="58" s="1"/>
  <c r="D49" i="58"/>
  <c r="D19" i="58"/>
  <c r="D45" i="58"/>
  <c r="D14" i="58"/>
  <c r="D7" i="58"/>
  <c r="D24" i="58"/>
  <c r="D58" i="58"/>
  <c r="C58" i="58" s="1"/>
  <c r="D4" i="58"/>
  <c r="D21" i="58"/>
  <c r="D61" i="58"/>
  <c r="C61" i="58" s="1"/>
  <c r="D41" i="58"/>
  <c r="D51" i="58"/>
  <c r="C51" i="58" s="1"/>
  <c r="D32" i="58"/>
  <c r="D57" i="58"/>
  <c r="C57" i="58" s="1"/>
  <c r="D60" i="58"/>
  <c r="C60" i="58" s="1"/>
  <c r="D46" i="58"/>
  <c r="D42" i="58"/>
  <c r="D5" i="58"/>
  <c r="D44" i="58"/>
  <c r="D15" i="58"/>
  <c r="D22" i="58"/>
  <c r="D62" i="58"/>
  <c r="C62" i="58" s="1"/>
  <c r="D63" i="58"/>
  <c r="C63" i="58" s="1"/>
  <c r="D59" i="58"/>
  <c r="C59" i="58" s="1"/>
  <c r="D56" i="58"/>
  <c r="C56" i="58" s="1"/>
  <c r="D59" i="4"/>
  <c r="D21" i="4"/>
  <c r="D34" i="4"/>
  <c r="D69" i="4"/>
  <c r="C69" i="4" s="1"/>
  <c r="D52" i="4"/>
  <c r="D30" i="4"/>
  <c r="E30" i="4" s="1" a="1"/>
  <c r="D15" i="4"/>
  <c r="D39" i="4"/>
  <c r="D11" i="4"/>
  <c r="D32" i="4"/>
  <c r="D6" i="4"/>
  <c r="D10" i="4"/>
  <c r="D14" i="4"/>
  <c r="D25" i="4"/>
  <c r="D36" i="4"/>
  <c r="D44" i="4"/>
  <c r="D37" i="4"/>
  <c r="D43" i="4"/>
  <c r="D24" i="4"/>
  <c r="D60" i="4"/>
  <c r="D3" i="4"/>
  <c r="D42" i="4"/>
  <c r="D20" i="4"/>
  <c r="D28" i="4"/>
  <c r="D41" i="4"/>
  <c r="D55" i="4"/>
  <c r="D12" i="4"/>
  <c r="D18" i="4"/>
  <c r="D29" i="4"/>
  <c r="D13" i="4"/>
  <c r="D53" i="4"/>
  <c r="D7" i="4"/>
  <c r="D61" i="4"/>
  <c r="D31" i="4"/>
  <c r="D45" i="4"/>
  <c r="D46" i="4"/>
  <c r="D5" i="4"/>
  <c r="D23" i="4"/>
  <c r="D4" i="4"/>
  <c r="D48" i="4"/>
  <c r="D50" i="4"/>
  <c r="D57" i="4"/>
  <c r="D40" i="4"/>
  <c r="D33" i="4"/>
  <c r="D27" i="4"/>
  <c r="D9" i="4"/>
  <c r="E67" i="4" l="1" a="1"/>
  <c r="E67" i="4" s="1"/>
  <c r="E64" i="4" a="1"/>
  <c r="E64" i="4" s="1"/>
  <c r="E65" i="4" a="1"/>
  <c r="E65" i="4" s="1"/>
  <c r="E62" i="4" a="1"/>
  <c r="E62" i="4" s="1"/>
  <c r="E68" i="4" a="1"/>
  <c r="E68" i="4" s="1"/>
  <c r="E66" i="4" a="1"/>
  <c r="E66" i="4" s="1"/>
  <c r="E17" i="4" a="1"/>
  <c r="E17" i="4" s="1"/>
  <c r="E19" i="4" a="1"/>
  <c r="E19" i="4" s="1"/>
  <c r="E46" i="4" a="1"/>
  <c r="E46" i="4" s="1"/>
  <c r="E18" i="4" a="1"/>
  <c r="E18" i="4" s="1"/>
  <c r="E41" i="4" a="1"/>
  <c r="E41" i="4" s="1"/>
  <c r="E42" i="4" a="1"/>
  <c r="E42" i="4" s="1"/>
  <c r="E24" i="4" a="1"/>
  <c r="E24" i="4" s="1"/>
  <c r="E25" i="4" a="1"/>
  <c r="E25" i="4" s="1"/>
  <c r="E32" i="4" a="1"/>
  <c r="E32" i="4" s="1"/>
  <c r="E21" i="4" a="1"/>
  <c r="E21" i="4" s="1"/>
  <c r="E56" i="4" a="1"/>
  <c r="E56" i="4" s="1"/>
  <c r="E57" i="4" a="1"/>
  <c r="E57" i="4" s="1"/>
  <c r="E45" i="4" a="1"/>
  <c r="E45" i="4" s="1"/>
  <c r="E53" i="4" a="1"/>
  <c r="E53" i="4" s="1"/>
  <c r="E12" i="4" a="1"/>
  <c r="E12" i="4" s="1"/>
  <c r="E28" i="4" a="1"/>
  <c r="E28" i="4" s="1"/>
  <c r="E3" i="4" a="1"/>
  <c r="E3" i="4" s="1"/>
  <c r="E43" i="4" a="1"/>
  <c r="E43" i="4" s="1"/>
  <c r="E14" i="4" a="1"/>
  <c r="E14" i="4" s="1"/>
  <c r="E11" i="4" a="1"/>
  <c r="E11" i="4" s="1"/>
  <c r="E52" i="4" a="1"/>
  <c r="E52" i="4" s="1"/>
  <c r="E59" i="4" a="1"/>
  <c r="E59" i="4" s="1"/>
  <c r="E35" i="4" a="1"/>
  <c r="E35" i="4" s="1"/>
  <c r="E40" i="4" a="1"/>
  <c r="E40" i="4" s="1"/>
  <c r="E27" i="4" a="1"/>
  <c r="E27" i="4" s="1"/>
  <c r="E50" i="4" a="1"/>
  <c r="E50" i="4" s="1"/>
  <c r="E23" i="4" a="1"/>
  <c r="E23" i="4" s="1"/>
  <c r="E31" i="4" a="1"/>
  <c r="E31" i="4" s="1"/>
  <c r="E13" i="4" a="1"/>
  <c r="E13" i="4" s="1"/>
  <c r="E55" i="4" a="1"/>
  <c r="E55" i="4" s="1"/>
  <c r="E44" i="4" a="1"/>
  <c r="E44" i="4" s="1"/>
  <c r="E10" i="4" a="1"/>
  <c r="E10" i="4" s="1"/>
  <c r="E39" i="4" a="1"/>
  <c r="E39" i="4" s="1"/>
  <c r="E69" i="4" a="1"/>
  <c r="E69" i="4" s="1"/>
  <c r="E9" i="4" a="1"/>
  <c r="E9" i="4" s="1"/>
  <c r="E33" i="4" a="1"/>
  <c r="E33" i="4" s="1"/>
  <c r="E48" i="4" a="1"/>
  <c r="E48" i="4" s="1"/>
  <c r="E61" i="4" a="1"/>
  <c r="E61" i="4" s="1"/>
  <c r="E29" i="4" a="1"/>
  <c r="E29" i="4" s="1"/>
  <c r="E20" i="4" a="1"/>
  <c r="E20" i="4" s="1"/>
  <c r="E60" i="4" a="1"/>
  <c r="E60" i="4" s="1"/>
  <c r="E37" i="4" a="1"/>
  <c r="E37" i="4" s="1"/>
  <c r="E36" i="4" a="1"/>
  <c r="E36" i="4" s="1"/>
  <c r="E15" i="4" a="1"/>
  <c r="E15" i="4" s="1"/>
  <c r="E34" i="4" a="1"/>
  <c r="E34" i="4" s="1"/>
  <c r="E16" i="4" a="1"/>
  <c r="E16" i="4" s="1"/>
  <c r="E56" i="58" a="1"/>
  <c r="E56" i="58" s="1"/>
  <c r="E59" i="58" a="1"/>
  <c r="E59" i="58" s="1"/>
  <c r="E63" i="58" a="1"/>
  <c r="E63" i="58" s="1"/>
  <c r="E62" i="58" a="1"/>
  <c r="E62" i="58" s="1"/>
  <c r="E22" i="58" a="1"/>
  <c r="E22" i="58" s="1"/>
  <c r="E15" i="58" a="1"/>
  <c r="E15" i="58" s="1"/>
  <c r="E44" i="58" a="1"/>
  <c r="E44" i="58" s="1"/>
  <c r="E5" i="58" a="1"/>
  <c r="E5" i="58" s="1"/>
  <c r="E42" i="58" a="1"/>
  <c r="E42" i="58" s="1"/>
  <c r="E46" i="58" a="1"/>
  <c r="E46" i="58" s="1"/>
  <c r="E60" i="58" a="1"/>
  <c r="E60" i="58" s="1"/>
  <c r="E57" i="58" a="1"/>
  <c r="E57" i="58" s="1"/>
  <c r="E32" i="58" a="1"/>
  <c r="E32" i="58" s="1"/>
  <c r="E51" i="58" a="1"/>
  <c r="E51" i="58" s="1"/>
  <c r="E41" i="58" a="1"/>
  <c r="E41" i="58" s="1"/>
  <c r="E61" i="58" a="1"/>
  <c r="E61" i="58" s="1"/>
  <c r="E21" i="58" a="1"/>
  <c r="E21" i="58" s="1"/>
  <c r="E58" i="58" a="1"/>
  <c r="E58" i="58" s="1"/>
  <c r="E24" i="58" a="1"/>
  <c r="E24" i="58" s="1"/>
  <c r="E7" i="58" a="1"/>
  <c r="E7" i="58" s="1"/>
  <c r="E14" i="58" a="1"/>
  <c r="E14" i="58" s="1"/>
  <c r="E45" i="58" a="1"/>
  <c r="E45" i="58" s="1"/>
  <c r="E19" i="58" a="1"/>
  <c r="E19" i="58" s="1"/>
  <c r="E49" i="58" a="1"/>
  <c r="E49" i="58" s="1"/>
  <c r="E53" i="58" a="1"/>
  <c r="E53" i="58" s="1"/>
  <c r="E55" i="58" a="1"/>
  <c r="E55" i="58" s="1"/>
  <c r="E10" i="58" a="1"/>
  <c r="E10" i="58" s="1"/>
  <c r="E30" i="58" a="1"/>
  <c r="E30" i="58" s="1"/>
  <c r="E18" i="58" a="1"/>
  <c r="E18" i="58" s="1"/>
  <c r="E29" i="58" a="1"/>
  <c r="E29" i="58" s="1"/>
  <c r="E11" i="58" a="1"/>
  <c r="E11" i="58" s="1"/>
  <c r="E31" i="58" a="1"/>
  <c r="E31" i="58" s="1"/>
  <c r="E38" i="58" a="1"/>
  <c r="E38" i="58" s="1"/>
  <c r="E37" i="58" a="1"/>
  <c r="E37" i="58" s="1"/>
  <c r="E47" i="58" a="1"/>
  <c r="E47" i="58" s="1"/>
  <c r="E28" i="58" a="1"/>
  <c r="E28" i="58" s="1"/>
  <c r="E25" i="58" a="1"/>
  <c r="E25" i="58" s="1"/>
  <c r="E54" i="58" a="1"/>
  <c r="E54" i="58" s="1"/>
  <c r="E26" i="58" a="1"/>
  <c r="E26" i="58" s="1"/>
  <c r="E35" i="58" a="1"/>
  <c r="E35" i="58" s="1"/>
  <c r="E36" i="58" a="1"/>
  <c r="E36" i="58" s="1"/>
  <c r="E50" i="58" a="1"/>
  <c r="E50" i="58" s="1"/>
  <c r="E40" i="58" a="1"/>
  <c r="E40" i="58" s="1"/>
  <c r="E12" i="58" a="1"/>
  <c r="E12" i="58" s="1"/>
  <c r="E8" i="58" a="1"/>
  <c r="E8" i="58" s="1"/>
  <c r="E39" i="58" a="1"/>
  <c r="E39" i="58" s="1"/>
  <c r="E43" i="58" a="1"/>
  <c r="E43" i="58" s="1"/>
  <c r="E20" i="58" a="1"/>
  <c r="E20" i="58" s="1"/>
  <c r="E30" i="4"/>
  <c r="E5" i="4" a="1"/>
  <c r="E4" i="4" a="1"/>
  <c r="E8" i="4" a="1"/>
  <c r="E6" i="4" a="1"/>
  <c r="E4" i="58" a="1"/>
  <c r="E7" i="4" a="1"/>
  <c r="E5" i="4" l="1"/>
  <c r="E4" i="4"/>
  <c r="E6" i="4"/>
  <c r="E4" i="58"/>
  <c r="E8" i="4"/>
  <c r="E7" i="4"/>
  <c r="U7" i="6"/>
  <c r="V7" i="6" s="1"/>
  <c r="U6" i="6"/>
  <c r="V6" i="6" s="1"/>
  <c r="F13" i="58" s="1"/>
  <c r="D13" i="58" s="1"/>
  <c r="E13" i="58" s="1" a="1"/>
  <c r="E13" i="58" s="1"/>
  <c r="V4" i="6"/>
  <c r="F6" i="58" s="1"/>
  <c r="D6" i="58" s="1"/>
  <c r="U5" i="6"/>
  <c r="V5" i="6" s="1"/>
  <c r="F9" i="58" s="1"/>
  <c r="U13" i="6"/>
  <c r="V13" i="6" s="1"/>
  <c r="C55" i="4" l="1"/>
  <c r="C29" i="4"/>
  <c r="C56" i="4"/>
  <c r="C39" i="4"/>
  <c r="C19" i="4"/>
  <c r="C54" i="4"/>
  <c r="C58" i="4"/>
  <c r="C47" i="4"/>
  <c r="C38" i="4"/>
  <c r="C49" i="4"/>
  <c r="C51" i="4"/>
  <c r="C61" i="4"/>
  <c r="C53" i="4"/>
  <c r="C48" i="4"/>
  <c r="C60" i="4"/>
  <c r="A60" i="4" s="1"/>
  <c r="C37" i="4"/>
  <c r="C52" i="4"/>
  <c r="C43" i="4"/>
  <c r="C57" i="4"/>
  <c r="C45" i="4"/>
  <c r="C46" i="4"/>
  <c r="C59" i="4"/>
  <c r="C50" i="4"/>
  <c r="C34" i="4"/>
  <c r="C40" i="4"/>
  <c r="C36" i="4"/>
  <c r="C41" i="4"/>
  <c r="C31" i="4"/>
  <c r="C35" i="4"/>
  <c r="C30" i="4"/>
  <c r="C44" i="4"/>
  <c r="C42" i="4"/>
  <c r="C33" i="4"/>
  <c r="C27" i="4"/>
  <c r="C21" i="4"/>
  <c r="C4" i="4"/>
  <c r="C18" i="4"/>
  <c r="C11" i="4"/>
  <c r="C17" i="4"/>
  <c r="C9" i="4"/>
  <c r="C32" i="4"/>
  <c r="C7" i="4"/>
  <c r="C22" i="4"/>
  <c r="C26" i="4"/>
  <c r="C12" i="4"/>
  <c r="C8" i="4"/>
  <c r="C28" i="4"/>
  <c r="C13" i="4"/>
  <c r="C23" i="4"/>
  <c r="C25" i="4"/>
  <c r="C24" i="4"/>
  <c r="C14" i="4"/>
  <c r="C15" i="4"/>
  <c r="C5" i="4"/>
  <c r="C3" i="4"/>
  <c r="C10" i="4"/>
  <c r="C6" i="4"/>
  <c r="C16" i="4"/>
  <c r="C20" i="4"/>
  <c r="E6" i="58" a="1"/>
  <c r="E6" i="58" s="1"/>
  <c r="D9" i="58"/>
  <c r="D16" i="58"/>
  <c r="D52" i="58"/>
  <c r="C52" i="58" s="1"/>
  <c r="D3" i="58"/>
  <c r="A61" i="4" l="1"/>
  <c r="E52" i="58" a="1"/>
  <c r="E52" i="58" s="1"/>
  <c r="E16" i="58" a="1"/>
  <c r="E16" i="58" s="1"/>
  <c r="E9" i="58" a="1"/>
  <c r="E9" i="58" s="1"/>
  <c r="E3" i="58" a="1"/>
  <c r="E3" i="58" l="1"/>
  <c r="C41" i="58" s="1"/>
  <c r="A55" i="58" s="1"/>
  <c r="A53" i="58"/>
  <c r="A57" i="58"/>
  <c r="A56" i="58"/>
  <c r="A58" i="4"/>
  <c r="A59" i="4"/>
  <c r="A57" i="4"/>
  <c r="A56" i="4"/>
  <c r="A52" i="58"/>
  <c r="A9" i="4"/>
  <c r="A11" i="4"/>
  <c r="A51" i="4"/>
  <c r="A26" i="4"/>
  <c r="A10" i="4"/>
  <c r="A38" i="4"/>
  <c r="A19" i="4"/>
  <c r="A36" i="4"/>
  <c r="A14" i="4"/>
  <c r="A6" i="4"/>
  <c r="A44" i="4"/>
  <c r="A43" i="4"/>
  <c r="A3" i="4"/>
  <c r="A49" i="4"/>
  <c r="A29" i="4"/>
  <c r="A33" i="4"/>
  <c r="A42" i="4"/>
  <c r="A40" i="4"/>
  <c r="A32" i="4"/>
  <c r="A15" i="4"/>
  <c r="A52" i="4"/>
  <c r="A47" i="4"/>
  <c r="A53" i="4"/>
  <c r="A20" i="4"/>
  <c r="A34" i="4"/>
  <c r="A23" i="4"/>
  <c r="A46" i="4"/>
  <c r="A37" i="4"/>
  <c r="A45" i="4"/>
  <c r="A27" i="4"/>
  <c r="A50" i="4"/>
  <c r="A41" i="4"/>
  <c r="A48" i="4"/>
  <c r="A13" i="4"/>
  <c r="A54" i="4"/>
  <c r="A35" i="4"/>
  <c r="A25" i="4"/>
  <c r="A39" i="4"/>
  <c r="A55" i="4"/>
  <c r="A7" i="4"/>
  <c r="A21" i="4"/>
  <c r="A31" i="4"/>
  <c r="A12" i="4"/>
  <c r="A5" i="4"/>
  <c r="A28" i="4"/>
  <c r="A8" i="4"/>
  <c r="A24" i="4"/>
  <c r="A18" i="4"/>
  <c r="A30" i="4"/>
  <c r="A22" i="4"/>
  <c r="A4" i="4"/>
  <c r="A17" i="4"/>
  <c r="A16" i="4"/>
  <c r="C33" i="58" l="1"/>
  <c r="C23" i="58"/>
  <c r="C27" i="58"/>
  <c r="C48" i="58"/>
  <c r="C34" i="58"/>
  <c r="C17" i="58"/>
  <c r="C28" i="58"/>
  <c r="C21" i="58"/>
  <c r="C43" i="58"/>
  <c r="C47" i="58"/>
  <c r="C5" i="58"/>
  <c r="C29" i="58"/>
  <c r="C12" i="58"/>
  <c r="C18" i="58"/>
  <c r="C30" i="58"/>
  <c r="C50" i="58"/>
  <c r="C36" i="58"/>
  <c r="C25" i="58"/>
  <c r="C31" i="58"/>
  <c r="C32" i="58"/>
  <c r="C39" i="58"/>
  <c r="C11" i="58"/>
  <c r="C8" i="58"/>
  <c r="C45" i="58"/>
  <c r="C35" i="58"/>
  <c r="C14" i="58"/>
  <c r="C40" i="58"/>
  <c r="C42" i="58"/>
  <c r="C19" i="58"/>
  <c r="C44" i="58"/>
  <c r="A44" i="58" s="1"/>
  <c r="C46" i="58"/>
  <c r="A46" i="58" s="1"/>
  <c r="C26" i="58"/>
  <c r="C49" i="58"/>
  <c r="C22" i="58"/>
  <c r="C13" i="58"/>
  <c r="C24" i="58"/>
  <c r="C37" i="58"/>
  <c r="C20" i="58"/>
  <c r="A18" i="58" s="1"/>
  <c r="C38" i="58"/>
  <c r="C15" i="58"/>
  <c r="C16" i="58"/>
  <c r="C3" i="58"/>
  <c r="A3" i="58" s="1"/>
  <c r="B3" i="40" s="1"/>
  <c r="C7" i="58"/>
  <c r="C4" i="58"/>
  <c r="C10" i="58"/>
  <c r="C6" i="58"/>
  <c r="C9" i="58"/>
  <c r="A58" i="58"/>
  <c r="A54" i="58"/>
  <c r="A51" i="58"/>
  <c r="G54" i="40"/>
  <c r="I55" i="40"/>
  <c r="I54" i="40"/>
  <c r="J55" i="40"/>
  <c r="J54" i="40"/>
  <c r="G55" i="40"/>
  <c r="G52" i="40"/>
  <c r="I53" i="40"/>
  <c r="I52" i="40"/>
  <c r="J52" i="40"/>
  <c r="G53" i="40"/>
  <c r="J53" i="40"/>
  <c r="I3" i="40"/>
  <c r="I4" i="40"/>
  <c r="J4" i="40"/>
  <c r="I5" i="40"/>
  <c r="G4" i="40"/>
  <c r="J3" i="40"/>
  <c r="G3" i="40"/>
  <c r="J11" i="40"/>
  <c r="I13" i="40"/>
  <c r="J14" i="40"/>
  <c r="I11" i="40"/>
  <c r="J5" i="40"/>
  <c r="I9" i="40"/>
  <c r="G6" i="40"/>
  <c r="G14" i="40"/>
  <c r="G13" i="40"/>
  <c r="I12" i="40"/>
  <c r="J10" i="40"/>
  <c r="G7" i="40"/>
  <c r="J12" i="40"/>
  <c r="G10" i="40"/>
  <c r="J9" i="40"/>
  <c r="I7" i="40"/>
  <c r="J13" i="40"/>
  <c r="G5" i="40"/>
  <c r="G15" i="40"/>
  <c r="I10" i="40"/>
  <c r="G16" i="40"/>
  <c r="G11" i="40"/>
  <c r="I6" i="40"/>
  <c r="J34" i="40"/>
  <c r="G8" i="40"/>
  <c r="G12" i="40"/>
  <c r="I8" i="40"/>
  <c r="I14" i="40"/>
  <c r="J7" i="40"/>
  <c r="J6" i="40"/>
  <c r="G9" i="40"/>
  <c r="J8" i="40"/>
  <c r="I16" i="40"/>
  <c r="I45" i="40"/>
  <c r="G41" i="40"/>
  <c r="J20" i="40"/>
  <c r="I48" i="40"/>
  <c r="I15" i="40"/>
  <c r="J35" i="40"/>
  <c r="I33" i="40"/>
  <c r="G24" i="40"/>
  <c r="I19" i="40"/>
  <c r="J51" i="40"/>
  <c r="I42" i="40"/>
  <c r="J39" i="40"/>
  <c r="J18" i="40"/>
  <c r="J22" i="40"/>
  <c r="I38" i="40"/>
  <c r="G36" i="40"/>
  <c r="J32" i="40"/>
  <c r="G33" i="40"/>
  <c r="G29" i="40"/>
  <c r="I49" i="40"/>
  <c r="J15" i="40"/>
  <c r="J24" i="40"/>
  <c r="I44" i="40"/>
  <c r="G37" i="40"/>
  <c r="G23" i="40"/>
  <c r="G42" i="40"/>
  <c r="I47" i="40"/>
  <c r="G39" i="40"/>
  <c r="G17" i="40"/>
  <c r="J28" i="40"/>
  <c r="J40" i="40"/>
  <c r="J21" i="40"/>
  <c r="G18" i="40"/>
  <c r="J38" i="40"/>
  <c r="I22" i="40"/>
  <c r="J25" i="40"/>
  <c r="G44" i="40"/>
  <c r="I28" i="40"/>
  <c r="G20" i="40"/>
  <c r="I25" i="40"/>
  <c r="I37" i="40"/>
  <c r="I26" i="40"/>
  <c r="G27" i="40"/>
  <c r="J44" i="40"/>
  <c r="I27" i="40"/>
  <c r="J37" i="40"/>
  <c r="I29" i="40"/>
  <c r="I36" i="40"/>
  <c r="J29" i="40"/>
  <c r="G46" i="40"/>
  <c r="I46" i="40"/>
  <c r="I50" i="40"/>
  <c r="I51" i="40"/>
  <c r="J50" i="40"/>
  <c r="I35" i="40"/>
  <c r="G19" i="40"/>
  <c r="G22" i="40"/>
  <c r="G43" i="40"/>
  <c r="G40" i="40"/>
  <c r="G26" i="40"/>
  <c r="G21" i="40"/>
  <c r="I30" i="40"/>
  <c r="J27" i="40"/>
  <c r="J41" i="40"/>
  <c r="G31" i="40"/>
  <c r="I21" i="40"/>
  <c r="I20" i="40"/>
  <c r="G25" i="40"/>
  <c r="J36" i="40"/>
  <c r="G28" i="40"/>
  <c r="G38" i="40"/>
  <c r="J23" i="40"/>
  <c r="I34" i="40"/>
  <c r="I40" i="40"/>
  <c r="G35" i="40"/>
  <c r="I39" i="40"/>
  <c r="I17" i="40"/>
  <c r="J45" i="40"/>
  <c r="G45" i="40"/>
  <c r="G49" i="40"/>
  <c r="G50" i="40"/>
  <c r="G51" i="40"/>
  <c r="J49" i="40"/>
  <c r="I18" i="40"/>
  <c r="I41" i="40"/>
  <c r="J26" i="40"/>
  <c r="G32" i="40"/>
  <c r="J33" i="40"/>
  <c r="J43" i="40"/>
  <c r="J31" i="40"/>
  <c r="J19" i="40"/>
  <c r="I23" i="40"/>
  <c r="I24" i="40"/>
  <c r="J42" i="40"/>
  <c r="J17" i="40"/>
  <c r="J30" i="40"/>
  <c r="I32" i="40"/>
  <c r="I43" i="40"/>
  <c r="G30" i="40"/>
  <c r="J16" i="40"/>
  <c r="G34" i="40"/>
  <c r="I31" i="40"/>
  <c r="J46" i="40"/>
  <c r="G48" i="40"/>
  <c r="J47" i="40"/>
  <c r="J48" i="40"/>
  <c r="G47" i="40"/>
  <c r="A31" i="58" l="1"/>
  <c r="A29" i="58"/>
  <c r="A49" i="58"/>
  <c r="A50" i="58"/>
  <c r="A39" i="58"/>
  <c r="A11" i="58"/>
  <c r="A45" i="58"/>
  <c r="A43" i="58"/>
  <c r="A36" i="58"/>
  <c r="A38" i="58"/>
  <c r="A15" i="58"/>
  <c r="A20" i="58"/>
  <c r="A12" i="58"/>
  <c r="A40" i="58"/>
  <c r="A8" i="58"/>
  <c r="A22" i="58"/>
  <c r="A37" i="58"/>
  <c r="A42" i="58"/>
  <c r="A19" i="58"/>
  <c r="A9" i="58"/>
  <c r="A26" i="58"/>
  <c r="A21" i="58"/>
  <c r="A28" i="58"/>
  <c r="A16" i="58"/>
  <c r="A41" i="58"/>
  <c r="A17" i="58"/>
  <c r="A34" i="58"/>
  <c r="A13" i="58"/>
  <c r="A32" i="58"/>
  <c r="A14" i="58"/>
  <c r="A30" i="58"/>
  <c r="A48" i="58"/>
  <c r="A23" i="58"/>
  <c r="A27" i="58"/>
  <c r="A33" i="58"/>
  <c r="A24" i="58"/>
  <c r="A47" i="58"/>
  <c r="A10" i="58"/>
  <c r="A4" i="58"/>
  <c r="A7" i="58"/>
  <c r="A25" i="58"/>
  <c r="A35" i="58"/>
  <c r="A6" i="58"/>
  <c r="A5" i="58"/>
  <c r="E3" i="40"/>
  <c r="D3" i="40"/>
  <c r="D4" i="40" l="1"/>
  <c r="B4" i="40"/>
  <c r="E4" i="40"/>
  <c r="D5" i="40"/>
  <c r="E25" i="40"/>
  <c r="B36" i="40"/>
  <c r="B46" i="40"/>
  <c r="E5" i="40"/>
  <c r="D12" i="40"/>
  <c r="E37" i="40"/>
  <c r="B10" i="40"/>
  <c r="E42" i="40"/>
  <c r="D47" i="40"/>
  <c r="B15" i="40"/>
  <c r="B32" i="40"/>
  <c r="D40" i="40"/>
  <c r="D45" i="40"/>
  <c r="D13" i="40"/>
  <c r="E7" i="40"/>
  <c r="E46" i="40"/>
  <c r="D29" i="40"/>
  <c r="D37" i="40"/>
  <c r="E23" i="40"/>
  <c r="B13" i="40"/>
  <c r="B12" i="40"/>
  <c r="D26" i="40"/>
  <c r="B31" i="40"/>
  <c r="D38" i="40"/>
  <c r="E33" i="40"/>
  <c r="D44" i="40"/>
  <c r="B19" i="40"/>
  <c r="E28" i="40"/>
  <c r="E11" i="40"/>
  <c r="B5" i="40"/>
  <c r="B41" i="40"/>
  <c r="E34" i="40"/>
  <c r="E36" i="40"/>
  <c r="E50" i="40"/>
  <c r="B42" i="40"/>
  <c r="E38" i="40"/>
  <c r="E29" i="40"/>
  <c r="D31" i="40"/>
  <c r="D50" i="40"/>
  <c r="E41" i="40"/>
  <c r="B47" i="40"/>
  <c r="D41" i="40"/>
  <c r="B44" i="40"/>
  <c r="B29" i="40"/>
  <c r="D27" i="40"/>
  <c r="D15" i="40"/>
  <c r="D22" i="40"/>
  <c r="D9" i="40"/>
  <c r="D49" i="40"/>
  <c r="B43" i="40"/>
  <c r="E27" i="40"/>
  <c r="E13" i="40"/>
  <c r="D28" i="40"/>
  <c r="D18" i="40"/>
  <c r="D17" i="40"/>
  <c r="D20" i="40"/>
  <c r="B6" i="40"/>
  <c r="D7" i="40"/>
  <c r="E51" i="40"/>
  <c r="D46" i="40"/>
  <c r="E39" i="40"/>
  <c r="B34" i="40"/>
  <c r="B49" i="40"/>
  <c r="D35" i="40"/>
  <c r="E32" i="40"/>
  <c r="D42" i="40"/>
  <c r="E47" i="40"/>
  <c r="E48" i="40"/>
  <c r="D34" i="40"/>
  <c r="D33" i="40"/>
  <c r="E31" i="40"/>
  <c r="B50" i="40"/>
  <c r="B48" i="40"/>
  <c r="B20" i="40"/>
  <c r="B25" i="40"/>
  <c r="E17" i="40"/>
  <c r="B26" i="40"/>
  <c r="E19" i="40"/>
  <c r="B30" i="40"/>
  <c r="B27" i="40"/>
  <c r="E12" i="40"/>
  <c r="E26" i="40"/>
  <c r="E16" i="40"/>
  <c r="E20" i="40"/>
  <c r="E8" i="40"/>
  <c r="D6" i="40"/>
  <c r="B51" i="40"/>
  <c r="B39" i="40"/>
  <c r="E35" i="40"/>
  <c r="B40" i="40"/>
  <c r="D51" i="40"/>
  <c r="B38" i="40"/>
  <c r="D32" i="40"/>
  <c r="D43" i="40"/>
  <c r="B35" i="40"/>
  <c r="D48" i="40"/>
  <c r="E44" i="40"/>
  <c r="B45" i="40"/>
  <c r="E45" i="40"/>
  <c r="B37" i="40"/>
  <c r="B33" i="40"/>
  <c r="E18" i="40"/>
  <c r="D39" i="40"/>
  <c r="D25" i="40"/>
  <c r="E40" i="40"/>
  <c r="E22" i="40"/>
  <c r="D36" i="40"/>
  <c r="B24" i="40"/>
  <c r="E21" i="40"/>
  <c r="E14" i="40"/>
  <c r="D8" i="40"/>
  <c r="D16" i="40"/>
  <c r="E15" i="40"/>
  <c r="D19" i="40"/>
  <c r="B11" i="40"/>
  <c r="B16" i="40"/>
  <c r="B9" i="40"/>
  <c r="E10" i="40"/>
  <c r="D11" i="40"/>
  <c r="B28" i="40"/>
  <c r="D14" i="40"/>
  <c r="E9" i="40"/>
  <c r="E30" i="40"/>
  <c r="B23" i="40"/>
  <c r="E43" i="40"/>
  <c r="E6" i="40"/>
  <c r="D23" i="40"/>
  <c r="B18" i="40"/>
  <c r="D24" i="40"/>
  <c r="B21" i="40"/>
  <c r="D30" i="40"/>
  <c r="E24" i="40"/>
  <c r="B17" i="40"/>
  <c r="B8" i="40"/>
  <c r="B14" i="40"/>
  <c r="D21" i="40"/>
  <c r="B22" i="40"/>
  <c r="B7" i="40"/>
  <c r="E49" i="40"/>
  <c r="D10" i="40"/>
</calcChain>
</file>

<file path=xl/sharedStrings.xml><?xml version="1.0" encoding="utf-8"?>
<sst xmlns="http://schemas.openxmlformats.org/spreadsheetml/2006/main" count="1880" uniqueCount="440">
  <si>
    <t>Full Name</t>
  </si>
  <si>
    <t>SIDANI, Ramzi</t>
  </si>
  <si>
    <t>PARKER, Mark</t>
  </si>
  <si>
    <t>WIDEMAN, Karl</t>
  </si>
  <si>
    <t>BARNES, Louis</t>
  </si>
  <si>
    <t>BOLTON, Ian</t>
  </si>
  <si>
    <t>STANLEY, Andrew</t>
  </si>
  <si>
    <t>BRADFORD, Mark</t>
  </si>
  <si>
    <t>LAZ, Kevin</t>
  </si>
  <si>
    <t>BLAND, Damon</t>
  </si>
  <si>
    <t>YEOMANS, Martin</t>
  </si>
  <si>
    <t>TAYLOR, Julie</t>
  </si>
  <si>
    <t>OSBORNE, Carolyn</t>
  </si>
  <si>
    <t>GRAVES, Laura</t>
  </si>
  <si>
    <t>MALONE, Sarah</t>
  </si>
  <si>
    <t>TOWLE, Grania</t>
  </si>
  <si>
    <t>HENFREY, Julie</t>
  </si>
  <si>
    <t>DERBY RUNNING WITH DAVID 5K - MEN</t>
  </si>
  <si>
    <t>Name</t>
  </si>
  <si>
    <t>Quickest
time</t>
  </si>
  <si>
    <t>Position</t>
  </si>
  <si>
    <t>SHAW, Gemma</t>
  </si>
  <si>
    <t>BRANDON, Helen</t>
  </si>
  <si>
    <t>HOPE, Jenny</t>
  </si>
  <si>
    <t>DERBY RUNNING WITH DAVID 5K - WOMEN</t>
  </si>
  <si>
    <t>Points</t>
  </si>
  <si>
    <t>Pace</t>
  </si>
  <si>
    <t>Time</t>
  </si>
  <si>
    <t>Category</t>
  </si>
  <si>
    <t>JEYES, Andrew</t>
  </si>
  <si>
    <t>BOTTRILL, Andrew</t>
  </si>
  <si>
    <t>WESTERN, Roger</t>
  </si>
  <si>
    <t>JEYES, Sally</t>
  </si>
  <si>
    <t>MOUNCER, Judy</t>
  </si>
  <si>
    <t>Subtotal</t>
  </si>
  <si>
    <t>Total races</t>
  </si>
  <si>
    <t>TRICKETT, Andrea</t>
  </si>
  <si>
    <t>ROWLES, Nick</t>
  </si>
  <si>
    <t>WIDEMAN, Emily</t>
  </si>
  <si>
    <t>HOPE, Rich</t>
  </si>
  <si>
    <t>OSBORNE, Chris</t>
  </si>
  <si>
    <t>SMITH, Victoria</t>
  </si>
  <si>
    <t>BARON, Keith</t>
  </si>
  <si>
    <t>ALLSOP, Lucy</t>
  </si>
  <si>
    <t>Ivanhoe 20</t>
  </si>
  <si>
    <t>COULTON, Shaun</t>
  </si>
  <si>
    <t>HORN, Patrick</t>
  </si>
  <si>
    <t>FINN, Helen</t>
  </si>
  <si>
    <t>CODD, Paul</t>
  </si>
  <si>
    <t>COX, James</t>
  </si>
  <si>
    <t>BENNION, Nancy</t>
  </si>
  <si>
    <t>BETTS, Fiona</t>
  </si>
  <si>
    <t>ASHTON, Mindy</t>
  </si>
  <si>
    <t>RIDLEY, Christine</t>
  </si>
  <si>
    <t>AVERILLO, Paul</t>
  </si>
  <si>
    <t>HOULT, Mark</t>
  </si>
  <si>
    <t>WOODS, Paul</t>
  </si>
  <si>
    <t>JOYCE, Matthew</t>
  </si>
  <si>
    <t>TAIT, Susan</t>
  </si>
  <si>
    <t>HALL, Simon</t>
  </si>
  <si>
    <t>HOULT, Sonia</t>
  </si>
  <si>
    <t>HALL, Lisa</t>
  </si>
  <si>
    <t>Swithland 6</t>
  </si>
  <si>
    <t>BLAND, Jane</t>
  </si>
  <si>
    <t>POTTER, Tom</t>
  </si>
  <si>
    <t>JEFFERY, Helen</t>
  </si>
  <si>
    <t>LAWLESS, Sandra</t>
  </si>
  <si>
    <t>Washlands Relays</t>
  </si>
  <si>
    <t>CHAMBERS, Alistair</t>
  </si>
  <si>
    <t>PLEASS, Matt</t>
  </si>
  <si>
    <t>HOPE, Colin</t>
  </si>
  <si>
    <t>OGILVIE, James</t>
  </si>
  <si>
    <t>MARTIN, Richard</t>
  </si>
  <si>
    <t>Joy Cann 5</t>
  </si>
  <si>
    <t>COLE, Andy</t>
  </si>
  <si>
    <t>TILBURY, Lindsay</t>
  </si>
  <si>
    <t>Tamworth 5</t>
  </si>
  <si>
    <t>SMITH, Tom</t>
  </si>
  <si>
    <t>STURLA, Tim</t>
  </si>
  <si>
    <t>Uttoxeter HM</t>
  </si>
  <si>
    <t>West End 8</t>
  </si>
  <si>
    <t>Worthington 6</t>
  </si>
  <si>
    <t>Burton 10k</t>
  </si>
  <si>
    <t>Rotherby 8</t>
  </si>
  <si>
    <t>Adrian Smith</t>
  </si>
  <si>
    <t>SINGLETON, Jill</t>
  </si>
  <si>
    <t>Rank</t>
  </si>
  <si>
    <t>Add to Summary</t>
  </si>
  <si>
    <t>April</t>
  </si>
  <si>
    <t>September</t>
  </si>
  <si>
    <t>October</t>
  </si>
  <si>
    <t>November</t>
  </si>
  <si>
    <t>HARRIOTT, Mark</t>
  </si>
  <si>
    <t>MONAGHAN, Amelia</t>
  </si>
  <si>
    <t>SHARPE, Bec</t>
  </si>
  <si>
    <t>SMITH, Georgina</t>
  </si>
  <si>
    <t>PARISH, Suzanne</t>
  </si>
  <si>
    <t>GILLON, Alex</t>
  </si>
  <si>
    <t>WATKINS, Catherine</t>
  </si>
  <si>
    <t>MEADOWS, Tor</t>
  </si>
  <si>
    <t>WOOD, Clare</t>
  </si>
  <si>
    <t>CROSS, Jeff</t>
  </si>
  <si>
    <t>MOULT, Becky</t>
  </si>
  <si>
    <t>BADEN, Rob</t>
  </si>
  <si>
    <t>ASHTON, Kenny</t>
  </si>
  <si>
    <t>TAYLOR, Charlene</t>
  </si>
  <si>
    <t>FOWLER, Adrian</t>
  </si>
  <si>
    <t>HOUGH, Andy</t>
  </si>
  <si>
    <t>Derby 5k</t>
  </si>
  <si>
    <t>Bosworth XC</t>
  </si>
  <si>
    <t>Kibworth 6</t>
  </si>
  <si>
    <t>Lichfield 10k</t>
  </si>
  <si>
    <t>Run In Forest</t>
  </si>
  <si>
    <t>Bosworth HM</t>
  </si>
  <si>
    <t>BALL, Tom</t>
  </si>
  <si>
    <t>COOLING, Phil</t>
  </si>
  <si>
    <t>SMITH, Lily</t>
  </si>
  <si>
    <t>MAY, Rupert</t>
  </si>
  <si>
    <t>HAMPSON, Richard</t>
  </si>
  <si>
    <t>CAIN, James</t>
  </si>
  <si>
    <t>BROWN, Geoffrey</t>
  </si>
  <si>
    <t>COLE, Deirdre</t>
  </si>
  <si>
    <t>DYTHAM, Michelle</t>
  </si>
  <si>
    <t>BRADSHAW, Jayne</t>
  </si>
  <si>
    <t>March</t>
  </si>
  <si>
    <t>GOLDINGAY, Harry</t>
  </si>
  <si>
    <t>MAY, Wendy</t>
  </si>
  <si>
    <t>TURNER, Sophie</t>
  </si>
  <si>
    <t>GILES, George</t>
  </si>
  <si>
    <t>DODWELL, Emily</t>
  </si>
  <si>
    <t>ARCHER, Abby</t>
  </si>
  <si>
    <t>DEVA, Mukesh</t>
  </si>
  <si>
    <t>BARON, Tom</t>
  </si>
  <si>
    <t>BOLTON, Ellen</t>
  </si>
  <si>
    <t>MCDERMOTT, Lucy</t>
  </si>
  <si>
    <t>WHITWORTH, Paula</t>
  </si>
  <si>
    <t>GEAR, Bianca</t>
  </si>
  <si>
    <t>CODD, Sarah</t>
  </si>
  <si>
    <t>Grace Dieu XC</t>
  </si>
  <si>
    <t>Stilton 7</t>
  </si>
  <si>
    <t>Tara Kinder 10K</t>
  </si>
  <si>
    <t>Markfield 10k</t>
  </si>
  <si>
    <t>Shepshed 7</t>
  </si>
  <si>
    <t>February</t>
  </si>
  <si>
    <t>Tara Kinder 10k</t>
  </si>
  <si>
    <t>(07:28)</t>
  </si>
  <si>
    <t>M</t>
  </si>
  <si>
    <t>(07:42)</t>
  </si>
  <si>
    <t>(08:03)</t>
  </si>
  <si>
    <t>(08:41)</t>
  </si>
  <si>
    <t>(09:04)</t>
  </si>
  <si>
    <t>(09:13)</t>
  </si>
  <si>
    <t>(09:30)</t>
  </si>
  <si>
    <t>(09:44)</t>
  </si>
  <si>
    <t>(09:51)</t>
  </si>
  <si>
    <t>(09:55)</t>
  </si>
  <si>
    <t>F</t>
  </si>
  <si>
    <t>(10:15)</t>
  </si>
  <si>
    <t>(10:31)</t>
  </si>
  <si>
    <t>(10:51)</t>
  </si>
  <si>
    <t>FLANAGAN, Mark</t>
  </si>
  <si>
    <t>(10:57)</t>
  </si>
  <si>
    <t>(11:00)</t>
  </si>
  <si>
    <t>(11:10)</t>
  </si>
  <si>
    <t>(11:16)</t>
  </si>
  <si>
    <t>(11:19)</t>
  </si>
  <si>
    <t>(11:27)</t>
  </si>
  <si>
    <t>(11:40)</t>
  </si>
  <si>
    <t>MUMMERY, Ismay</t>
  </si>
  <si>
    <t>(12:43)</t>
  </si>
  <si>
    <t>(16:12)</t>
  </si>
  <si>
    <t>(07:15)</t>
  </si>
  <si>
    <t>(07:19)</t>
  </si>
  <si>
    <t>(08:26)</t>
  </si>
  <si>
    <t>(08:30)</t>
  </si>
  <si>
    <t>(08:53)</t>
  </si>
  <si>
    <t>(09:05)</t>
  </si>
  <si>
    <t>ALLSOP, Andrew</t>
  </si>
  <si>
    <t>(09:39)</t>
  </si>
  <si>
    <t>(09:43)</t>
  </si>
  <si>
    <t>(09:59)</t>
  </si>
  <si>
    <t>(10:10)</t>
  </si>
  <si>
    <t>(10:50)</t>
  </si>
  <si>
    <t>(11:36)</t>
  </si>
  <si>
    <t>(16:28)</t>
  </si>
  <si>
    <t>COTON, Sophie</t>
  </si>
  <si>
    <t>(06:30)</t>
  </si>
  <si>
    <t>(06:47)</t>
  </si>
  <si>
    <t>(06:56)</t>
  </si>
  <si>
    <t>(07:17)</t>
  </si>
  <si>
    <t>BROCKLEHURST, Matt</t>
  </si>
  <si>
    <t>(07:23)</t>
  </si>
  <si>
    <t>BOOTE, Francesca</t>
  </si>
  <si>
    <t>(07:24)</t>
  </si>
  <si>
    <t>(07:25)</t>
  </si>
  <si>
    <t>(07:34)</t>
  </si>
  <si>
    <t>(07:40)</t>
  </si>
  <si>
    <t>(07:43)</t>
  </si>
  <si>
    <t>(07:58)</t>
  </si>
  <si>
    <t>(08:08)</t>
  </si>
  <si>
    <t>(08:32)</t>
  </si>
  <si>
    <t>(08:45)</t>
  </si>
  <si>
    <t>(08:47)</t>
  </si>
  <si>
    <t>(08:51)</t>
  </si>
  <si>
    <t>(09:09)</t>
  </si>
  <si>
    <t>(09:18)</t>
  </si>
  <si>
    <t>(09:33)</t>
  </si>
  <si>
    <t>(09:35)</t>
  </si>
  <si>
    <t>(09:52)</t>
  </si>
  <si>
    <t>(10:36)</t>
  </si>
  <si>
    <t>(09:42)</t>
  </si>
  <si>
    <t>(06:46)</t>
  </si>
  <si>
    <t>(07:16)</t>
  </si>
  <si>
    <t>(07:49)</t>
  </si>
  <si>
    <t>(07:47)</t>
  </si>
  <si>
    <t>(07:55)</t>
  </si>
  <si>
    <t>(08:13)</t>
  </si>
  <si>
    <t>(08:17)</t>
  </si>
  <si>
    <t>(08:19)</t>
  </si>
  <si>
    <t>(08:25)</t>
  </si>
  <si>
    <t>(08:56)</t>
  </si>
  <si>
    <t>(09:12)</t>
  </si>
  <si>
    <t>POWDRILL, Neil</t>
  </si>
  <si>
    <t>(14:57)</t>
  </si>
  <si>
    <t>(05:29)</t>
  </si>
  <si>
    <t>(06:18)</t>
  </si>
  <si>
    <t>(06:27)</t>
  </si>
  <si>
    <t>DUNNING, Phil</t>
  </si>
  <si>
    <t>(06:29)</t>
  </si>
  <si>
    <t>(06:48)</t>
  </si>
  <si>
    <t>(07:02)</t>
  </si>
  <si>
    <t>(07:10)</t>
  </si>
  <si>
    <t>(07:44)</t>
  </si>
  <si>
    <t>(07:56)</t>
  </si>
  <si>
    <t>(08:04)</t>
  </si>
  <si>
    <t>(08:10)</t>
  </si>
  <si>
    <t>(08:18)</t>
  </si>
  <si>
    <t>(08:35)</t>
  </si>
  <si>
    <t>SIDANI, Bethany</t>
  </si>
  <si>
    <t>(09:38)</t>
  </si>
  <si>
    <t>HEITMANN, Laura</t>
  </si>
  <si>
    <t>(09:50)</t>
  </si>
  <si>
    <t>(09:58)</t>
  </si>
  <si>
    <t>(10:00)</t>
  </si>
  <si>
    <t>ATKINSON, Matt</t>
  </si>
  <si>
    <t>(07:45)</t>
  </si>
  <si>
    <t>(07:52)</t>
  </si>
  <si>
    <t>(08:44)</t>
  </si>
  <si>
    <t>(08:54)</t>
  </si>
  <si>
    <t>(14:53)</t>
  </si>
  <si>
    <t>(08:07)</t>
  </si>
  <si>
    <t>(06:03)</t>
  </si>
  <si>
    <t>(06:09)</t>
  </si>
  <si>
    <t>(07:00)</t>
  </si>
  <si>
    <t>(07:12)</t>
  </si>
  <si>
    <t>(07:14)</t>
  </si>
  <si>
    <t>PARKER, Emily</t>
  </si>
  <si>
    <t>(07:30)</t>
  </si>
  <si>
    <t>(07:46)</t>
  </si>
  <si>
    <t>(07:51)</t>
  </si>
  <si>
    <t>(08:00)</t>
  </si>
  <si>
    <t>(08:05)</t>
  </si>
  <si>
    <t>(08:14)</t>
  </si>
  <si>
    <t>KIRK, Ian</t>
  </si>
  <si>
    <t>(08:23)</t>
  </si>
  <si>
    <t>(08:39)</t>
  </si>
  <si>
    <t>(09:16)</t>
  </si>
  <si>
    <t>(09:22)</t>
  </si>
  <si>
    <t>(09:32)</t>
  </si>
  <si>
    <t>(09:34)</t>
  </si>
  <si>
    <t>(10:04)</t>
  </si>
  <si>
    <t>(10:13)</t>
  </si>
  <si>
    <t>(11:01)</t>
  </si>
  <si>
    <t>(12:11)</t>
  </si>
  <si>
    <t>HILL, Simon</t>
  </si>
  <si>
    <t>(12:15)</t>
  </si>
  <si>
    <t>(14:41)</t>
  </si>
  <si>
    <t>(06:12)</t>
  </si>
  <si>
    <t>(06:41)</t>
  </si>
  <si>
    <t>(06:45)</t>
  </si>
  <si>
    <t>(07:07)</t>
  </si>
  <si>
    <t>(07:08)</t>
  </si>
  <si>
    <t>BLADON-COPE, Daniel</t>
  </si>
  <si>
    <t>BLADON-COPE, Jordan</t>
  </si>
  <si>
    <t>(07:22)</t>
  </si>
  <si>
    <t>(07:33)</t>
  </si>
  <si>
    <t>(07:59)</t>
  </si>
  <si>
    <t>OGDEN, Dan</t>
  </si>
  <si>
    <t>(08:09)</t>
  </si>
  <si>
    <t>(08:12)</t>
  </si>
  <si>
    <t>(08:31)</t>
  </si>
  <si>
    <t>(08:58)</t>
  </si>
  <si>
    <t>(05:44)</t>
  </si>
  <si>
    <t>(06:51)</t>
  </si>
  <si>
    <t>(06:54)</t>
  </si>
  <si>
    <t>(07:35)</t>
  </si>
  <si>
    <t>(07:37)</t>
  </si>
  <si>
    <t>(07:53)</t>
  </si>
  <si>
    <t>(09:02)</t>
  </si>
  <si>
    <t>(10:01)</t>
  </si>
  <si>
    <t>(11:51)</t>
  </si>
  <si>
    <t>(05:04)</t>
  </si>
  <si>
    <t>(05:11)</t>
  </si>
  <si>
    <t>(05:22)</t>
  </si>
  <si>
    <t>WIDEMAN, Oliver</t>
  </si>
  <si>
    <t>(05:27)</t>
  </si>
  <si>
    <t>(05:30)</t>
  </si>
  <si>
    <t>(05:42)</t>
  </si>
  <si>
    <t>(05:46)</t>
  </si>
  <si>
    <t>(05:47)</t>
  </si>
  <si>
    <t>(05:50)</t>
  </si>
  <si>
    <t>(05:54)</t>
  </si>
  <si>
    <t>(06:04)</t>
  </si>
  <si>
    <t>(06:05)</t>
  </si>
  <si>
    <t>(06:11)</t>
  </si>
  <si>
    <t>(06:14)</t>
  </si>
  <si>
    <t>(06:15)</t>
  </si>
  <si>
    <t>(06:16)</t>
  </si>
  <si>
    <t>(06:17)</t>
  </si>
  <si>
    <t>(06:20)</t>
  </si>
  <si>
    <t>(06:21)</t>
  </si>
  <si>
    <t>(06:23)</t>
  </si>
  <si>
    <t>(06:24)</t>
  </si>
  <si>
    <t>WOOD, Craig</t>
  </si>
  <si>
    <t>(06:28)</t>
  </si>
  <si>
    <t>(06:42)</t>
  </si>
  <si>
    <t>(06:50)</t>
  </si>
  <si>
    <t>(06:53)</t>
  </si>
  <si>
    <t>(06:55)</t>
  </si>
  <si>
    <t>(07:01)</t>
  </si>
  <si>
    <t>ENION, Ruth</t>
  </si>
  <si>
    <t>(07:05)</t>
  </si>
  <si>
    <t>(07:27)</t>
  </si>
  <si>
    <t>(07:38)</t>
  </si>
  <si>
    <t>(07:41)</t>
  </si>
  <si>
    <t>(07:50)</t>
  </si>
  <si>
    <t>(08:21)</t>
  </si>
  <si>
    <t>(08:22)</t>
  </si>
  <si>
    <t>(08:38)</t>
  </si>
  <si>
    <t>(08:55)</t>
  </si>
  <si>
    <t>(06:00)</t>
  </si>
  <si>
    <t>(06:02)</t>
  </si>
  <si>
    <t>(06:19)</t>
  </si>
  <si>
    <t>(06:25)</t>
  </si>
  <si>
    <t>(06:31)</t>
  </si>
  <si>
    <t>(06:33)</t>
  </si>
  <si>
    <t>BROWN, Jamie</t>
  </si>
  <si>
    <t>(07:32)</t>
  </si>
  <si>
    <t>(07:36)</t>
  </si>
  <si>
    <t>(08:16)</t>
  </si>
  <si>
    <t>(08:20)</t>
  </si>
  <si>
    <t>(08:43)</t>
  </si>
  <si>
    <t>(08:52)</t>
  </si>
  <si>
    <t>(09:01)</t>
  </si>
  <si>
    <t>(09:07)</t>
  </si>
  <si>
    <t>(09:19)</t>
  </si>
  <si>
    <t>(10:34)</t>
  </si>
  <si>
    <t>(05:16)</t>
  </si>
  <si>
    <t>(05:40)</t>
  </si>
  <si>
    <t>(05:41)</t>
  </si>
  <si>
    <t>(05:59)</t>
  </si>
  <si>
    <t>(06:34)</t>
  </si>
  <si>
    <t>(06:35)</t>
  </si>
  <si>
    <t>(06:58)</t>
  </si>
  <si>
    <t>(07:20)</t>
  </si>
  <si>
    <t>(07:26)</t>
  </si>
  <si>
    <t>(08:59)</t>
  </si>
  <si>
    <t>(09:29)</t>
  </si>
  <si>
    <t>(05:33)</t>
  </si>
  <si>
    <t>(05:43)</t>
  </si>
  <si>
    <t>(06:59)</t>
  </si>
  <si>
    <t>(08:01)</t>
  </si>
  <si>
    <t>(10:24)</t>
  </si>
  <si>
    <t>(14:34)</t>
  </si>
  <si>
    <t>(05:56)</t>
  </si>
  <si>
    <t>(06:07)</t>
  </si>
  <si>
    <t>DUNNING, Chloe</t>
  </si>
  <si>
    <t>(08:28)</t>
  </si>
  <si>
    <t>(08:48)</t>
  </si>
  <si>
    <t>BULL, Sarah</t>
  </si>
  <si>
    <t>(08:49)</t>
  </si>
  <si>
    <t>(11:39)</t>
  </si>
  <si>
    <t>(07:06)</t>
  </si>
  <si>
    <t>(07:31)</t>
  </si>
  <si>
    <t>(10:44)</t>
  </si>
  <si>
    <t>(15:32)</t>
  </si>
  <si>
    <t>EYDMAN, Mark</t>
  </si>
  <si>
    <t>(07:18)</t>
  </si>
  <si>
    <t>(05:51)</t>
  </si>
  <si>
    <t>(09:27)</t>
  </si>
  <si>
    <t>(08:50)</t>
  </si>
  <si>
    <t>LEWIS, Sarah</t>
  </si>
  <si>
    <t>(08:02)</t>
  </si>
  <si>
    <t>(06:49)</t>
  </si>
  <si>
    <t>(08:36)</t>
  </si>
  <si>
    <t>EATON, Rob</t>
  </si>
  <si>
    <t>(09:06)</t>
  </si>
  <si>
    <t>(09:15)</t>
  </si>
  <si>
    <t>(07:54)</t>
  </si>
  <si>
    <t>Bagworth XC</t>
  </si>
  <si>
    <t>(05:57)</t>
  </si>
  <si>
    <t>(06:01)</t>
  </si>
  <si>
    <t>(06:10)</t>
  </si>
  <si>
    <t>(06:13)</t>
  </si>
  <si>
    <t>(06:26)</t>
  </si>
  <si>
    <t>(06:37)</t>
  </si>
  <si>
    <t>(06:43)</t>
  </si>
  <si>
    <t>(07:21)</t>
  </si>
  <si>
    <t>(11:09)</t>
  </si>
  <si>
    <t>(08:46)</t>
  </si>
  <si>
    <t>(10:05)</t>
  </si>
  <si>
    <t>(07:11)</t>
  </si>
  <si>
    <t>(07:48)</t>
  </si>
  <si>
    <t>(09:24)</t>
  </si>
  <si>
    <t>(15:14)</t>
  </si>
  <si>
    <t>(09:17)</t>
  </si>
  <si>
    <t>(07:57)</t>
  </si>
  <si>
    <t>(08:24)</t>
  </si>
  <si>
    <t>(08:40)</t>
  </si>
  <si>
    <t>(09:26)</t>
  </si>
  <si>
    <t>(09:41)</t>
  </si>
  <si>
    <t>(10:16)</t>
  </si>
  <si>
    <t>(10:19)</t>
  </si>
  <si>
    <t>(10:28)</t>
  </si>
  <si>
    <t>(10:39)</t>
  </si>
  <si>
    <t>(10:40)</t>
  </si>
  <si>
    <t>(10:49)</t>
  </si>
  <si>
    <t>(10:53)</t>
  </si>
  <si>
    <t>(10:59)</t>
  </si>
  <si>
    <t>(11:05)</t>
  </si>
  <si>
    <t>(11:08)</t>
  </si>
  <si>
    <t>(11:13)</t>
  </si>
  <si>
    <t>(11:32)</t>
  </si>
  <si>
    <t>(11:43)</t>
  </si>
  <si>
    <t>(11:55)</t>
  </si>
  <si>
    <t>(12:16)</t>
  </si>
  <si>
    <t>(14:58)</t>
  </si>
  <si>
    <t>(05:55)</t>
  </si>
  <si>
    <t>(09:47)</t>
  </si>
  <si>
    <t>(10:12)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</si>
</sst>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rgb="FF333333"/>
      <name val="Arial"/>
      <family val="2"/>
    </font>
    <font>
      <sz val="11"/>
      <color rgb="FF333333"/>
      <name val="Arial"/>
      <family val="2"/>
    </font>
    <font>
      <b/>
      <sz val="16"/>
      <color theme="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3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9100"/>
        <bgColor indexed="64"/>
      </patternFill>
    </fill>
    <fill>
      <patternFill patternType="solid">
        <fgColor rgb="FFAAA9AD"/>
        <bgColor indexed="64"/>
      </patternFill>
    </fill>
    <fill>
      <patternFill patternType="solid">
        <fgColor rgb="FFCD7F3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C8C8C8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rgb="FFA6A6A6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A6A6A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/>
    <xf numFmtId="21" fontId="0" fillId="0" borderId="3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21" fontId="7" fillId="0" borderId="3" xfId="0" applyNumberFormat="1" applyFont="1" applyBorder="1" applyAlignment="1">
      <alignment wrapText="1"/>
    </xf>
    <xf numFmtId="14" fontId="0" fillId="0" borderId="3" xfId="0" applyNumberFormat="1" applyBorder="1"/>
    <xf numFmtId="0" fontId="4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21" fontId="0" fillId="0" borderId="0" xfId="0" applyNumberFormat="1"/>
    <xf numFmtId="165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165" fontId="3" fillId="3" borderId="25" xfId="0" applyNumberFormat="1" applyFont="1" applyFill="1" applyBorder="1" applyAlignment="1">
      <alignment wrapText="1"/>
    </xf>
    <xf numFmtId="0" fontId="3" fillId="3" borderId="25" xfId="0" applyFont="1" applyFill="1" applyBorder="1" applyAlignment="1">
      <alignment wrapText="1"/>
    </xf>
    <xf numFmtId="0" fontId="3" fillId="3" borderId="26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5" borderId="19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wrapText="1"/>
    </xf>
    <xf numFmtId="165" fontId="3" fillId="3" borderId="29" xfId="0" applyNumberFormat="1" applyFont="1" applyFill="1" applyBorder="1" applyAlignment="1">
      <alignment wrapText="1"/>
    </xf>
    <xf numFmtId="0" fontId="3" fillId="3" borderId="29" xfId="0" applyFont="1" applyFill="1" applyBorder="1" applyAlignment="1">
      <alignment wrapText="1"/>
    </xf>
    <xf numFmtId="0" fontId="3" fillId="3" borderId="30" xfId="0" applyFont="1" applyFill="1" applyBorder="1" applyAlignment="1">
      <alignment horizontal="center" wrapText="1"/>
    </xf>
    <xf numFmtId="21" fontId="3" fillId="3" borderId="1" xfId="0" applyNumberFormat="1" applyFont="1" applyFill="1" applyBorder="1" applyAlignment="1">
      <alignment wrapText="1"/>
    </xf>
    <xf numFmtId="0" fontId="1" fillId="0" borderId="9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wrapText="1"/>
    </xf>
    <xf numFmtId="0" fontId="0" fillId="0" borderId="32" xfId="0" applyBorder="1"/>
    <xf numFmtId="0" fontId="5" fillId="0" borderId="33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wrapText="1"/>
    </xf>
    <xf numFmtId="21" fontId="7" fillId="0" borderId="8" xfId="0" applyNumberFormat="1" applyFont="1" applyBorder="1" applyAlignment="1">
      <alignment wrapText="1"/>
    </xf>
    <xf numFmtId="14" fontId="0" fillId="0" borderId="8" xfId="0" applyNumberFormat="1" applyBorder="1"/>
    <xf numFmtId="0" fontId="0" fillId="0" borderId="8" xfId="0" applyBorder="1"/>
    <xf numFmtId="21" fontId="0" fillId="0" borderId="8" xfId="0" applyNumberFormat="1" applyBorder="1"/>
    <xf numFmtId="0" fontId="3" fillId="0" borderId="1" xfId="0" applyFon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textRotation="90" wrapText="1"/>
    </xf>
    <xf numFmtId="0" fontId="14" fillId="0" borderId="12" xfId="1" applyFont="1" applyFill="1" applyBorder="1" applyAlignment="1">
      <alignment horizontal="center" vertical="center" textRotation="90" wrapText="1"/>
    </xf>
    <xf numFmtId="0" fontId="14" fillId="0" borderId="36" xfId="1" applyFont="1" applyFill="1" applyBorder="1" applyAlignment="1">
      <alignment horizontal="center" vertical="center" textRotation="90" wrapText="1"/>
    </xf>
    <xf numFmtId="21" fontId="7" fillId="0" borderId="3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36"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6" formatCode="hh:mm:ss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165" formatCode="[$-F400]h:mm:ss\ AM/PM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top style="thin">
          <color rgb="FFA6A6A6"/>
        </top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6" formatCode="hh:mm:ss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6" formatCode="hh:mm:ss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numFmt numFmtId="26" formatCode="hh:mm:ss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C8C8C8"/>
        </bottom>
        <vertical/>
        <horizontal/>
      </border>
    </dxf>
    <dxf>
      <border outline="0">
        <right style="thin">
          <color theme="0" tint="-0.34998626667073579"/>
        </right>
        <top style="thin">
          <color theme="0" tint="-0.3499862666707357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00B05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C8C8C8"/>
        </bottom>
        <vertical/>
        <horizontal/>
      </border>
    </dxf>
    <dxf>
      <border outline="0">
        <right style="thin">
          <color rgb="FFA6A6A6"/>
        </right>
        <top style="thin">
          <color rgb="FFA6A6A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.2"/>
        <color rgb="FF00B05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9" defaultPivotStyle="PivotStyleLight16"/>
  <colors>
    <mruColors>
      <color rgb="FFF79646"/>
      <color rgb="FFCD7F32"/>
      <color rgb="FFAAA9AD"/>
      <color rgb="FFDA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DC1D03F-2D1A-4A1C-A803-25CE3F9CCE7E}" name="Table222" displayName="Table222" ref="B2:AB63" totalsRowShown="0" headerRowDxfId="435" dataDxfId="433" headerRowBorderDxfId="434" tableBorderDxfId="432">
  <autoFilter ref="B2:AB63" xr:uid="{277C2590-B7B9-45FD-926A-7A4D7D02E6F9}"/>
  <sortState xmlns:xlrd2="http://schemas.microsoft.com/office/spreadsheetml/2017/richdata2" ref="B3:AB63">
    <sortCondition descending="1" ref="E2:E63"/>
  </sortState>
  <tableColumns count="27">
    <tableColumn id="1" xr3:uid="{76390E04-5686-477D-8E61-4F68749E4F03}" name="Full Name" dataDxfId="431"/>
    <tableColumn id="2" xr3:uid="{132C9EA7-45CD-49E6-AAEB-4C09EAB94CDA}" name="Position" dataDxfId="430">
      <calculatedColumnFormula>IF(Table222[[#This Row],[Total races]]=0,0,(RANK(E3,$E$3:$E$63)+COUNTIF(E3:$E$63,E3)-1))</calculatedColumnFormula>
    </tableColumn>
    <tableColumn id="3" xr3:uid="{E887EDF6-90A0-4FC3-A8AA-A15E246FF777}" name="Total races" dataDxfId="429">
      <calculatedColumnFormula>COUNTIF(F3:AB3,"&gt;=0")</calculatedColumnFormula>
    </tableColumn>
    <tableColumn id="4" xr3:uid="{3F3C0BCB-52DD-4B22-AE21-E85EBF62DB2B}" name="Subtotal" dataDxfId="428">
      <calculatedColumnFormula array="1">IF(Table222[[#This Row],[Total races]]&lt;11,SUM(Table222[[#This Row],[Derby 5k]:[Shepshed 7]]),SUM(LARGE(F3:AB3,ROW(INDIRECT("1:10")))))+Table222[[#This Row],[Total races]]*3</calculatedColumnFormula>
    </tableColumn>
    <tableColumn id="5" xr3:uid="{74FCF461-63CD-42E6-B6D7-7775A4722481}" name="Derby 5k" dataDxfId="427">
      <calculatedColumnFormula>IFERROR(VLOOKUP(B3,'Derby 5K'!$M$4:$V$15,10,FALSE),"")</calculatedColumnFormula>
    </tableColumn>
    <tableColumn id="24" xr3:uid="{F6EF8CB9-2D0D-4CC4-9647-89AF6570B4BC}" name="Grace Dieu XC" dataDxfId="426">
      <calculatedColumnFormula>IFERROR(VLOOKUP(B3,'Grace Dieu XC'!$A:$C,3,FALSE),"")</calculatedColumnFormula>
    </tableColumn>
    <tableColumn id="6" xr3:uid="{5848EA3C-81E2-4685-9255-CB62411AA9B3}" name="Bosworth XC" dataDxfId="425">
      <calculatedColumnFormula>IFERROR(VLOOKUP(B3,'Bosworth XC'!$A:$C,3,FALSE),"")</calculatedColumnFormula>
    </tableColumn>
    <tableColumn id="7" xr3:uid="{7DDC0992-942A-41B3-9835-0A24ECDD14F1}" name="Kibworth 6" dataDxfId="424">
      <calculatedColumnFormula>IFERROR(VLOOKUP($B3,'Kibworth 6'!$A:$C,3,FALSE),"")</calculatedColumnFormula>
    </tableColumn>
    <tableColumn id="8" xr3:uid="{57AC6A92-730B-4FD0-BB38-F743FCA89930}" name="Ivanhoe 20" dataDxfId="423">
      <calculatedColumnFormula>IFERROR(VLOOKUP($B3,'Ivanhoe 20'!$A:$C,3,FALSE),"")</calculatedColumnFormula>
    </tableColumn>
    <tableColumn id="9" xr3:uid="{E3AFCC30-8A6B-4164-B5F3-F24C962C011A}" name="Run In Forest" dataDxfId="422">
      <calculatedColumnFormula>IFERROR(VLOOKUP($B3,'Run In Forest'!$A:$C,3,FALSE),"")</calculatedColumnFormula>
    </tableColumn>
    <tableColumn id="25" xr3:uid="{2B8FEAE8-F0A6-4927-91E2-39FD5B877C5D}" name="Stilton 7" dataDxfId="421">
      <calculatedColumnFormula>IFERROR(VLOOKUP($B3,'Stilton 7'!$A:$C,3,FALSE),"")</calculatedColumnFormula>
    </tableColumn>
    <tableColumn id="10" xr3:uid="{8250E7BB-C2CB-4F13-BFCD-D08392ECE084}" name="Uttoxeter HM" dataDxfId="420">
      <calculatedColumnFormula>IFERROR(VLOOKUP($B3,'Uttoxeter HM'!$A:$C,3,FALSE),"")</calculatedColumnFormula>
    </tableColumn>
    <tableColumn id="11" xr3:uid="{77FD3F7C-2E27-4D84-8DC2-14AB3B03AFC8}" name="Bosworth HM" dataDxfId="419">
      <calculatedColumnFormula>IFERROR(VLOOKUP($B3,'Bosworth HM'!$A:$C,3,FALSE),"")</calculatedColumnFormula>
    </tableColumn>
    <tableColumn id="12" xr3:uid="{EB85C6E1-A0E7-42FE-A571-2F142E055478}" name="West End 8" dataDxfId="418">
      <calculatedColumnFormula>IFERROR(VLOOKUP($B3,'West End 8'!$A:$C,3,FALSE),"")</calculatedColumnFormula>
    </tableColumn>
    <tableColumn id="13" xr3:uid="{69CD115C-090F-4C1A-A59F-E3AB8BD4779C}" name="Swithland 6" dataDxfId="417">
      <calculatedColumnFormula>IFERROR(VLOOKUP($B3,'Swithland 6'!$A:$C,3,FALSE),"")</calculatedColumnFormula>
    </tableColumn>
    <tableColumn id="14" xr3:uid="{E242FEBA-2AE9-4D75-9FD5-45EF252CB4AC}" name="Washlands Relays" dataDxfId="416">
      <calculatedColumnFormula>IFERROR(VLOOKUP($B3,'Washlands Relays'!$A:$C,3,FALSE),"")</calculatedColumnFormula>
    </tableColumn>
    <tableColumn id="15" xr3:uid="{7ABDF534-17DF-4175-BD5F-7F6B2872B76F}" name="Tara Kinder 10k" dataDxfId="415">
      <calculatedColumnFormula>IFERROR(VLOOKUP($B3,'Tara Kinder 10K'!$A:$C,3,FALSE),"")</calculatedColumnFormula>
    </tableColumn>
    <tableColumn id="16" xr3:uid="{5712B6BA-24FE-43FA-97A7-7A238F345076}" name="Worthington 6" dataDxfId="414">
      <calculatedColumnFormula>IFERROR(VLOOKUP($B3,'Worthington 6'!$A:$C,3,FALSE),"")</calculatedColumnFormula>
    </tableColumn>
    <tableColumn id="17" xr3:uid="{9F53A35E-AADD-44E1-B675-78A76CE8EFAB}" name="Joy Cann 5" dataDxfId="413">
      <calculatedColumnFormula>IFERROR(VLOOKUP($B3,'Joy Cann 5'!$A:$C,3,FALSE),"")</calculatedColumnFormula>
    </tableColumn>
    <tableColumn id="18" xr3:uid="{6540BD80-9520-40EF-9EF6-FA240D7DF6D3}" name="Burton 10k" dataDxfId="412">
      <calculatedColumnFormula>IFERROR(VLOOKUP($B3,'Burton 10k'!$A:$C,3,FALSE),"")</calculatedColumnFormula>
    </tableColumn>
    <tableColumn id="19" xr3:uid="{9408E530-BF9F-40AC-BC3B-82AEC092601C}" name="Rotherby 8" dataDxfId="411">
      <calculatedColumnFormula>IFERROR(VLOOKUP($B3,'Rotherby 8'!$A:$C,3,FALSE),"")</calculatedColumnFormula>
    </tableColumn>
    <tableColumn id="20" xr3:uid="{94EC7236-2157-47C0-B9D5-FBDDD4595553}" name="Lichfield 10k" dataDxfId="410">
      <calculatedColumnFormula>IFERROR(VLOOKUP($B3,'Lichfield 10k'!$A:$C,3,FALSE),"")</calculatedColumnFormula>
    </tableColumn>
    <tableColumn id="21" xr3:uid="{26BFF2B4-8E53-4C1C-B203-650B1F15AC9B}" name="Adrian Smith" dataDxfId="409">
      <calculatedColumnFormula>IFERROR(VLOOKUP($B3,'Adrian Smith'!$A:$C,3,FALSE),"")</calculatedColumnFormula>
    </tableColumn>
    <tableColumn id="22" xr3:uid="{CF2DD90B-6469-4182-BDBD-F9E1BA123AF6}" name="Tamworth 5" dataDxfId="408">
      <calculatedColumnFormula>IFERROR(VLOOKUP($B3,'Tamworth 5'!$A:$C,3,FALSE),"")</calculatedColumnFormula>
    </tableColumn>
    <tableColumn id="23" xr3:uid="{6B4B844B-F531-4C6D-94C9-08958128C4E7}" name="Bagworth XC" dataDxfId="407">
      <calculatedColumnFormula>IFERROR(VLOOKUP($B3,'Bagworth XC'!$A:$C,3,FALSE),"")</calculatedColumnFormula>
    </tableColumn>
    <tableColumn id="26" xr3:uid="{FB9BB0B1-A527-4AEC-8618-59AB800AD4EE}" name="Markfield 10k" dataDxfId="406">
      <calculatedColumnFormula>IFERROR(VLOOKUP($B3,'Markfield 10k'!$A:$C,3,FALSE),"")</calculatedColumnFormula>
    </tableColumn>
    <tableColumn id="27" xr3:uid="{A726AF52-0B52-462F-8312-505337088048}" name="Shepshed 7" dataDxfId="405">
      <calculatedColumnFormula>IFERROR(VLOOKUP($B3,'Shepshed 7'!$A:$C,3,FALSE),"")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C2590-B7B9-45FD-926A-7A4D7D02E6F9}" name="Table2" displayName="Table2" ref="B2:AB69" totalsRowShown="0" headerRowDxfId="404" dataDxfId="402" headerRowBorderDxfId="403" tableBorderDxfId="401">
  <autoFilter ref="B2:AB69" xr:uid="{277C2590-B7B9-45FD-926A-7A4D7D02E6F9}"/>
  <sortState xmlns:xlrd2="http://schemas.microsoft.com/office/spreadsheetml/2017/richdata2" ref="B3:AB69">
    <sortCondition descending="1" ref="E2:E69"/>
  </sortState>
  <tableColumns count="27">
    <tableColumn id="1" xr3:uid="{528F7931-8547-47F5-8848-CB5B5A857ADE}" name="Full Name" dataDxfId="400"/>
    <tableColumn id="2" xr3:uid="{CA7E8536-63B2-4DC9-98C8-34E0A733340F}" name="Position" dataDxfId="399">
      <calculatedColumnFormula>IF(Table2[[#This Row],[Total races]]=0,0,(RANK(E3,$E$3:$E$69)+COUNTIF(E3:$E$69,E3)-1))</calculatedColumnFormula>
    </tableColumn>
    <tableColumn id="3" xr3:uid="{4655304B-50B3-4B73-BAB0-DAB36D7A0900}" name="Total races" dataDxfId="398">
      <calculatedColumnFormula>COUNTIF(F3:AB3,"&gt;=0")</calculatedColumnFormula>
    </tableColumn>
    <tableColumn id="4" xr3:uid="{8D109DC7-0AAB-4FFC-A1C9-E2256460C03A}" name="Subtotal" dataDxfId="397">
      <calculatedColumnFormula array="1">IF(Table2[[#This Row],[Total races]]&lt;11,SUM(Table2[[#This Row],[Derby 5k]:[Shepshed 7]]),SUM(LARGE(F3:AB3,ROW(INDIRECT("1:10")))))+Table2[[#This Row],[Total races]]*3</calculatedColumnFormula>
    </tableColumn>
    <tableColumn id="5" xr3:uid="{8DFC1A64-A882-44DB-9218-E7865BF6C389}" name="Derby 5k" dataDxfId="396">
      <calculatedColumnFormula>IFERROR(VLOOKUP(B3,'Derby 5K'!$B$4:$K$15,10,FALSE),"")</calculatedColumnFormula>
    </tableColumn>
    <tableColumn id="26" xr3:uid="{04259FE1-5131-40C0-ADC6-C1F10EE5B841}" name="Grace Dieu XC" dataDxfId="395">
      <calculatedColumnFormula>IFERROR(VLOOKUP(B3,'Grace Dieu XC'!$A:$C,3,FALSE),"")</calculatedColumnFormula>
    </tableColumn>
    <tableColumn id="6" xr3:uid="{65F8D9B2-AC01-4C1A-A02F-A3064CEA3391}" name="Bosworth XC" dataDxfId="394">
      <calculatedColumnFormula>IFERROR(VLOOKUP(B3,'Bosworth XC'!$A:$C,3,FALSE),"")</calculatedColumnFormula>
    </tableColumn>
    <tableColumn id="7" xr3:uid="{89D497AC-188A-4201-AE94-FE5EA8EEEA41}" name="Kibworth 6" dataDxfId="393">
      <calculatedColumnFormula>IFERROR(VLOOKUP($B3,'Kibworth 6'!$A:$C,3,FALSE),"")</calculatedColumnFormula>
    </tableColumn>
    <tableColumn id="8" xr3:uid="{85679493-6562-417C-B032-139885E5C96B}" name="Ivanhoe 20" dataDxfId="392">
      <calculatedColumnFormula>IFERROR(VLOOKUP($B3,'Ivanhoe 20'!$A:$C,3,FALSE),"")</calculatedColumnFormula>
    </tableColumn>
    <tableColumn id="9" xr3:uid="{6998D756-DA1F-48FD-8F08-058670FF50C3}" name="Run In Forest" dataDxfId="391">
      <calculatedColumnFormula>IFERROR(VLOOKUP($B3,'Run In Forest'!$A:$C,3,FALSE),"")</calculatedColumnFormula>
    </tableColumn>
    <tableColumn id="27" xr3:uid="{017175B2-4231-48F9-9965-99C619C17695}" name="Stilton 7" dataDxfId="390">
      <calculatedColumnFormula>IFERROR(VLOOKUP($B3,'Stilton 7'!$A:$C,3,FALSE),"")</calculatedColumnFormula>
    </tableColumn>
    <tableColumn id="10" xr3:uid="{4F5D6355-9666-4852-889A-8F8C02D42957}" name="Uttoxeter HM" dataDxfId="389">
      <calculatedColumnFormula>IFERROR(VLOOKUP($B3,'Uttoxeter HM'!$A:$C,3,FALSE),"")</calculatedColumnFormula>
    </tableColumn>
    <tableColumn id="11" xr3:uid="{57097A22-B325-489E-AA15-1C26C4C18547}" name="Bosworth HM" dataDxfId="388">
      <calculatedColumnFormula>IFERROR(VLOOKUP($B3,'Bosworth HM'!$A:$C,3,FALSE),"")</calculatedColumnFormula>
    </tableColumn>
    <tableColumn id="12" xr3:uid="{3459A5DC-2DD7-439B-8B45-89EF77EB89CD}" name="West End 8" dataDxfId="387">
      <calculatedColumnFormula>IFERROR(VLOOKUP($B3,'West End 8'!$A:$C,3,FALSE),"")</calculatedColumnFormula>
    </tableColumn>
    <tableColumn id="13" xr3:uid="{92AF4645-F858-48D1-8802-8D93F4472F21}" name="Swithland 6" dataDxfId="386">
      <calculatedColumnFormula>IFERROR(VLOOKUP($B3,'Swithland 6'!$A:$C,3,FALSE),"")</calculatedColumnFormula>
    </tableColumn>
    <tableColumn id="14" xr3:uid="{26D2AB07-9365-4B29-A75B-B06D1A6C3EF0}" name="Washlands Relays" dataDxfId="385">
      <calculatedColumnFormula>IFERROR(VLOOKUP($B3,'Washlands Relays'!$A:$C,3,FALSE),"")</calculatedColumnFormula>
    </tableColumn>
    <tableColumn id="15" xr3:uid="{156E107E-BC16-4EF9-91E5-99BF452606F5}" name="Tara Kinder 10K" dataDxfId="384">
      <calculatedColumnFormula>IFERROR(VLOOKUP($B3,'Tara Kinder 10K'!$A:$C,3,FALSE),"")</calculatedColumnFormula>
    </tableColumn>
    <tableColumn id="16" xr3:uid="{47E7D8F8-6813-4938-93F5-FFC7C928FDB9}" name="Worthington 6" dataDxfId="383">
      <calculatedColumnFormula>IFERROR(VLOOKUP($B3,'Worthington 6'!$A:$C,3,FALSE),"")</calculatedColumnFormula>
    </tableColumn>
    <tableColumn id="17" xr3:uid="{6E396A52-9B3D-453C-914D-A3CD5B36EE83}" name="Joy Cann 5" dataDxfId="382">
      <calculatedColumnFormula>IFERROR(VLOOKUP($B3,'Joy Cann 5'!$A:$C,3,FALSE),"")</calculatedColumnFormula>
    </tableColumn>
    <tableColumn id="18" xr3:uid="{37C2B8E1-3301-4F4D-8562-192F64403DC9}" name="Burton 10k" dataDxfId="381">
      <calculatedColumnFormula>IFERROR(VLOOKUP($B3,'Burton 10k'!$A:$C,3,FALSE),"")</calculatedColumnFormula>
    </tableColumn>
    <tableColumn id="19" xr3:uid="{C919741D-EAD1-4F77-86E4-A1B32F27267B}" name="Rotherby 8" dataDxfId="380">
      <calculatedColumnFormula>IFERROR(VLOOKUP($B3,'Rotherby 8'!$A:$C,3,FALSE),"")</calculatedColumnFormula>
    </tableColumn>
    <tableColumn id="20" xr3:uid="{9810D9A2-4162-4AA3-A780-95AE67981919}" name="Lichfield 10k" dataDxfId="379">
      <calculatedColumnFormula>IFERROR(VLOOKUP($B3,'Lichfield 10k'!$A:$C,3,FALSE),"")</calculatedColumnFormula>
    </tableColumn>
    <tableColumn id="21" xr3:uid="{31287AB4-0CA5-4E7F-A3BA-251D74EDC1B7}" name="Adrian Smith" dataDxfId="378">
      <calculatedColumnFormula>IFERROR(VLOOKUP($B3,'Adrian Smith'!$A:$C,3,FALSE),"")</calculatedColumnFormula>
    </tableColumn>
    <tableColumn id="22" xr3:uid="{2F1B9D08-F7F3-450B-9401-AA794A512BD3}" name="Tamworth 5" dataDxfId="377">
      <calculatedColumnFormula>IFERROR(VLOOKUP($B3,'Tamworth 5'!$A:$C,3,FALSE),"")</calculatedColumnFormula>
    </tableColumn>
    <tableColumn id="23" xr3:uid="{C79A8651-1F55-4894-8B87-3538C7AE6231}" name="Bagworth XC" dataDxfId="376">
      <calculatedColumnFormula>IFERROR(VLOOKUP($B3,'Bagworth XC'!$A:$C,3,FALSE),"")</calculatedColumnFormula>
    </tableColumn>
    <tableColumn id="24" xr3:uid="{E889874A-7F28-4F8A-8D71-099D63C41691}" name="Markfield 10k" dataDxfId="375">
      <calculatedColumnFormula>IFERROR(VLOOKUP($B3,'Markfield 10k'!$A:$C,3,FALSE),"")</calculatedColumnFormula>
    </tableColumn>
    <tableColumn id="25" xr3:uid="{93C3D272-41C5-49C5-A3EA-3DB2B6A0020E}" name="Shepshed 7" dataDxfId="374">
      <calculatedColumnFormula>IFERROR(VLOOKUP($B3,'Shepshed 7'!$A:$C,3,FALSE),"")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21721A-3003-4075-9E5A-363ED4A6E005}" name="Table3" displayName="Table3" ref="M3:V15" totalsRowShown="0" tableBorderDxfId="373">
  <autoFilter ref="M3:V15" xr:uid="{1521721A-3003-4075-9E5A-363ED4A6E005}"/>
  <sortState xmlns:xlrd2="http://schemas.microsoft.com/office/spreadsheetml/2017/richdata2" ref="M4:V15">
    <sortCondition ref="U3:U15"/>
  </sortState>
  <tableColumns count="10">
    <tableColumn id="1" xr3:uid="{5C883902-C997-4383-BF40-E997A93E4835}" name="Name" dataDxfId="372"/>
    <tableColumn id="11" xr3:uid="{7BBF24FC-32B5-4FE2-BB95-C925FC5269A8}" name="February" dataDxfId="371"/>
    <tableColumn id="2" xr3:uid="{09AC54AD-DE79-45DA-BA28-2096E31A888F}" name="March" dataDxfId="370"/>
    <tableColumn id="9" xr3:uid="{6D284240-9DF2-44C2-B784-1017C107A0D8}" name="April" dataDxfId="369"/>
    <tableColumn id="3" xr3:uid="{A9A37F62-1D1D-418E-B65C-074CFCCC4523}" name="September" dataDxfId="368"/>
    <tableColumn id="4" xr3:uid="{76398E4B-8AF1-4F16-903D-38FF6AC03CF9}" name="October" dataDxfId="367"/>
    <tableColumn id="5" xr3:uid="{4ACC360D-693C-4C88-A9D7-304D3331705F}" name="November" dataDxfId="366"/>
    <tableColumn id="6" xr3:uid="{1601C4CD-528F-49AE-837B-8F7D9037FBD0}" name="Quickest_x000a_time" dataDxfId="365">
      <calculatedColumnFormula>IF(Table3[[#This Row],[Name]]="","",MIN(N4:S4))</calculatedColumnFormula>
    </tableColumn>
    <tableColumn id="7" xr3:uid="{F139933F-B8B1-40FE-994D-7DFB63BCC0B0}" name="Position" dataDxfId="364">
      <calculatedColumnFormula>IFERROR(RANK(T4,$T$4:$T$15,1),"")</calculatedColumnFormula>
    </tableColumn>
    <tableColumn id="8" xr3:uid="{963B4AB4-8A06-4DED-A9E6-A586548B5F46}" name="Points" dataDxfId="363">
      <calculatedColumnFormula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898DAE-4F19-4F03-A1F8-1E0F679ECF74}" name="Table22" displayName="Table22" ref="B3:K15" totalsRowShown="0" tableBorderDxfId="362">
  <autoFilter ref="B3:K15" xr:uid="{C6898DAE-4F19-4F03-A1F8-1E0F679ECF74}"/>
  <tableColumns count="10">
    <tableColumn id="1" xr3:uid="{F3375DE5-9E7D-4F72-850F-52EA104C0E99}" name="Name" dataDxfId="361"/>
    <tableColumn id="10" xr3:uid="{8BFBF350-B27E-4A7F-9D9C-93AA57C81778}" name="February" dataDxfId="360"/>
    <tableColumn id="2" xr3:uid="{2394C831-1151-4A17-88E8-607A5362821A}" name="March" dataDxfId="359"/>
    <tableColumn id="3" xr3:uid="{2EE0AFA6-C67F-412A-8B2A-2A54579C1D6D}" name="April" dataDxfId="358"/>
    <tableColumn id="4" xr3:uid="{BE802875-78E6-4452-822A-68632892F548}" name="September" dataDxfId="357"/>
    <tableColumn id="5" xr3:uid="{962E30D7-25C8-4304-B9C5-F29559A27CFC}" name="October" dataDxfId="356"/>
    <tableColumn id="9" xr3:uid="{2FE151EC-A167-46A1-A38C-F889EDB7238A}" name="November" dataDxfId="355"/>
    <tableColumn id="6" xr3:uid="{D6F2C052-C4BE-491F-8F5F-D4DE2BFF03F1}" name="Quickest_x000a_time" dataDxfId="354">
      <calculatedColumnFormula>IF(Table22[[#This Row],[Name]]="","",MIN(C4:H4))</calculatedColumnFormula>
    </tableColumn>
    <tableColumn id="7" xr3:uid="{007AE776-8AE3-495D-9739-2EA426AD87E3}" name="Position" dataDxfId="353">
      <calculatedColumnFormula>IFERROR(RANK(I4,$I$4:$I$15,1),"")</calculatedColumnFormula>
    </tableColumn>
    <tableColumn id="8" xr3:uid="{BF900E1A-970E-430A-8C8B-E89739F3639A}" name="Points" dataDxfId="352">
      <calculatedColumnFormula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B441D73-C798-4D7D-A68C-3402333F2EBF}" name="Table151516171824" displayName="Table151516171824" ref="A1:I50" totalsRowShown="0" headerRowDxfId="351" dataDxfId="349" headerRowBorderDxfId="350" tableBorderDxfId="348" totalsRowBorderDxfId="347">
  <autoFilter ref="A1:I50" xr:uid="{5D0FAB26-D36A-466A-A089-CDBB90E1DF59}"/>
  <tableColumns count="9">
    <tableColumn id="1" xr3:uid="{EC91F083-1097-4A6C-81D3-983BD5791C39}" name="Name" dataDxfId="346">
      <calculatedColumnFormula>Table151516171824[[#This Row],[Full Name]]</calculatedColumnFormula>
    </tableColumn>
    <tableColumn id="12" xr3:uid="{C93E2203-7473-4158-9262-6A81E359179D}" name="Add to Summary" dataDxfId="345">
      <calculatedColumnFormula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calculatedColumnFormula>
    </tableColumn>
    <tableColumn id="10" xr3:uid="{FEFEDE6C-5261-4346-8081-B319A8BACA12}" name="Points" dataDxfId="344">
      <calculatedColumnFormula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calculatedColumnFormula>
    </tableColumn>
    <tableColumn id="9" xr3:uid="{620690EB-CEB4-4EE4-84A0-06032E1C1191}" name="Rank" dataDxfId="343">
      <calculatedColumnFormula>IF(Table151516171824[[#This Row],[Category]]="","",IF(Table151516171824[[#This Row],[Category]]="M",COUNTIF($I$2:$I2,"M"),IF(Table151516171824[[#This Row],[Category]]="F",COUNTIF($I$2:$I2,"F"),0)))</calculatedColumnFormula>
    </tableColumn>
    <tableColumn id="2" xr3:uid="{AAF92CAA-C9EE-41D4-817D-D26AC549D0A8}" name="Position" dataDxfId="342"/>
    <tableColumn id="3" xr3:uid="{ED1B7ABB-2AA3-4FAF-AF7E-90AFC935EC75}" name="Time" dataDxfId="341"/>
    <tableColumn id="4" xr3:uid="{9593AD40-EAF5-4B11-BC41-32CCBBC2FFC0}" name="Pace" dataDxfId="340"/>
    <tableColumn id="5" xr3:uid="{CC7AA3DF-77E5-47C0-9D1E-1A87E5515F72}" name="Full Name" dataDxfId="339"/>
    <tableColumn id="6" xr3:uid="{580797B3-4D75-4B2D-AB0D-D4CDE509A08D}" name="Category" dataDxfId="33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0FAB26-D36A-466A-A089-CDBB90E1DF59}" name="Table1" displayName="Table1" ref="A1:I47" totalsRowShown="0" headerRowDxfId="337" dataDxfId="335" headerRowBorderDxfId="336" tableBorderDxfId="334" totalsRowBorderDxfId="333">
  <autoFilter ref="A1:I47" xr:uid="{5D0FAB26-D36A-466A-A089-CDBB90E1DF59}"/>
  <tableColumns count="9">
    <tableColumn id="1" xr3:uid="{BFE4252C-C495-4CD2-A824-866E879EBE65}" name="Name" dataDxfId="332">
      <calculatedColumnFormula>Table1[[#This Row],[Full Name]]</calculatedColumnFormula>
    </tableColumn>
    <tableColumn id="12" xr3:uid="{8E02DDE1-DAF9-4778-A3AD-17AFF73557AD}" name="Add to Summary" dataDxfId="331">
      <calculatedColumnFormula>IF(Table1[[#This Row],[Full Name]]="","",IF(IFERROR(IFERROR(VLOOKUP(Table1[[#This Row],[Full Name]],'Mens League'!B:B,1,FALSE),VLOOKUP(Table1[[#This Row],[Full Name]],'Women''s League'!B:B,1,FALSE)),"NEEDS ADDING")="NEEDS ADDING","NEEDS ADDING","OK"))</calculatedColumnFormula>
    </tableColumn>
    <tableColumn id="10" xr3:uid="{DDDE2624-C0B0-4C6A-96A9-B36C09F67C9C}" name="Points" dataDxfId="330">
      <calculatedColumnFormula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calculatedColumnFormula>
    </tableColumn>
    <tableColumn id="9" xr3:uid="{ECD4C349-DABF-42D1-B3DF-2B879E8C62A9}" name="Rank" dataDxfId="329">
      <calculatedColumnFormula>IF(Table1[[#This Row],[Category]]="","",IF(Table1[[#This Row],[Category]]="M",COUNTIF($I$2:$I2,"M"),IF(Table1[[#This Row],[Category]]="F",COUNTIF($I$2:$I2,"F"),0)))</calculatedColumnFormula>
    </tableColumn>
    <tableColumn id="2" xr3:uid="{4956BA34-DE97-4B7E-A582-6E986DD5C92B}" name="Position" dataDxfId="328"/>
    <tableColumn id="3" xr3:uid="{162F88CA-9EE1-44D0-B0DD-4E0C2EFC3449}" name="Time" dataDxfId="327"/>
    <tableColumn id="4" xr3:uid="{81209666-B2D8-4C57-AF65-E49915EE7726}" name="Pace" dataDxfId="326"/>
    <tableColumn id="5" xr3:uid="{40217998-3A43-40E2-9B50-EC61774AE58F}" name="Full Name" dataDxfId="325"/>
    <tableColumn id="6" xr3:uid="{5851F0D8-2BF6-44BB-BA23-55D53DFA2FC3}" name="Category" dataDxfId="32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A37549-4399-475C-AAF9-CA3C1C9EC125}" name="Table15" displayName="Table15" ref="A1:I48" totalsRowShown="0" headerRowDxfId="323" dataDxfId="321" headerRowBorderDxfId="322" tableBorderDxfId="320" totalsRowBorderDxfId="319">
  <autoFilter ref="A1:I48" xr:uid="{5D0FAB26-D36A-466A-A089-CDBB90E1DF59}"/>
  <tableColumns count="9">
    <tableColumn id="1" xr3:uid="{48207DC6-8FFD-4B35-8042-66E029928243}" name="Name" dataDxfId="318">
      <calculatedColumnFormula>Table15[[#This Row],[Full Name]]</calculatedColumnFormula>
    </tableColumn>
    <tableColumn id="12" xr3:uid="{8DC6E241-4EDC-409A-AEFD-766B3B84228F}" name="Add to Summary" dataDxfId="317">
      <calculatedColumnFormula>IF(Table15[[#This Row],[Full Name]]="","",IF(IFERROR(IFERROR(VLOOKUP(Table15[[#This Row],[Full Name]],'Mens League'!B:B,1,FALSE),VLOOKUP(Table15[[#This Row],[Full Name]],'Women''s League'!B:B,1,FALSE)),"NEEDS ADDING")="NEEDS ADDING","NEEDS ADDING","OK"))</calculatedColumnFormula>
    </tableColumn>
    <tableColumn id="10" xr3:uid="{98ABE78D-118E-43F2-86D8-D669373CFC0A}" name="Points" dataDxfId="316">
      <calculatedColumnFormula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calculatedColumnFormula>
    </tableColumn>
    <tableColumn id="9" xr3:uid="{56BBB851-14AB-40CB-94E4-2B88934874FF}" name="Rank" dataDxfId="315">
      <calculatedColumnFormula>IF(Table15[[#This Row],[Category]]="","",IF(Table15[[#This Row],[Category]]="M",COUNTIF($I$2:$I2,"M"),IF(Table15[[#This Row],[Category]]="F",COUNTIF($I$2:$I2,"F"),0)))</calculatedColumnFormula>
    </tableColumn>
    <tableColumn id="2" xr3:uid="{A4890893-10AA-4A85-9EFC-DE1602AA41B5}" name="Position" dataDxfId="314"/>
    <tableColumn id="3" xr3:uid="{A26EB822-5D70-4460-974F-D10462F502BD}" name="Time" dataDxfId="313"/>
    <tableColumn id="4" xr3:uid="{9A0FA9B2-FD58-47F3-90FC-1F50BD08ADB9}" name="Pace" dataDxfId="312"/>
    <tableColumn id="5" xr3:uid="{6B435508-DF5C-4C76-B191-DDCB0622A8B1}" name="Full Name" dataDxfId="311"/>
    <tableColumn id="6" xr3:uid="{A9256A83-2626-4D12-999D-277CC2E955C0}" name="Category" dataDxfId="31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8AB0C4-6E2E-4119-9D15-C5DCA50CBB3D}" name="Table156" displayName="Table156" ref="A1:I48" totalsRowShown="0" headerRowDxfId="309" dataDxfId="307" headerRowBorderDxfId="308" tableBorderDxfId="306" totalsRowBorderDxfId="305">
  <autoFilter ref="A1:I48" xr:uid="{5D0FAB26-D36A-466A-A089-CDBB90E1DF59}"/>
  <tableColumns count="9">
    <tableColumn id="1" xr3:uid="{B9F0E37B-3479-43DE-812D-E674BD9F17C1}" name="Name" dataDxfId="304">
      <calculatedColumnFormula>Table156[[#This Row],[Full Name]]</calculatedColumnFormula>
    </tableColumn>
    <tableColumn id="12" xr3:uid="{F48400F4-18B8-4573-A649-98E221B40ACB}" name="Add to Summary" dataDxfId="303">
      <calculatedColumnFormula>IF(Table156[[#This Row],[Full Name]]="","",IF(IFERROR(IFERROR(VLOOKUP(Table156[[#This Row],[Full Name]],'Mens League'!B:B,1,FALSE),VLOOKUP(Table156[[#This Row],[Full Name]],'Women''s League'!B:B,1,FALSE)),"NEEDS ADDING")="NEEDS ADDING","NEEDS ADDING","OK"))</calculatedColumnFormula>
    </tableColumn>
    <tableColumn id="10" xr3:uid="{E6478914-E87B-4063-AC38-96334C4C6BFD}" name="Points" dataDxfId="302">
      <calculatedColumnFormula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calculatedColumnFormula>
    </tableColumn>
    <tableColumn id="9" xr3:uid="{64CD77C4-91A3-4ED8-8E2B-1E4B42B29CF4}" name="Rank" dataDxfId="301">
      <calculatedColumnFormula>IF(Table156[[#This Row],[Category]]="","",IF(Table156[[#This Row],[Category]]="M",COUNTIF($I$2:$I2,"M"),IF(Table156[[#This Row],[Category]]="F",COUNTIF($I$2:$I2,"F"),0)))</calculatedColumnFormula>
    </tableColumn>
    <tableColumn id="2" xr3:uid="{F080214B-1AA6-4219-90C5-A8967FDAF8A1}" name="Position" dataDxfId="300"/>
    <tableColumn id="3" xr3:uid="{E89E95BC-5FCB-466D-A0E8-2C2743855165}" name="Time" dataDxfId="299"/>
    <tableColumn id="4" xr3:uid="{D4893258-B542-45F2-BE9A-BA66AA5A751A}" name="Pace" dataDxfId="298"/>
    <tableColumn id="5" xr3:uid="{2169849E-FF15-4836-8C47-50E02E28AD7A}" name="Full Name" dataDxfId="297"/>
    <tableColumn id="6" xr3:uid="{FB3AF221-7880-4C97-9439-789276698E47}" name="Category" dataDxfId="29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97C78E-5933-4013-9386-F05CC9C6F775}" name="Table1567" displayName="Table1567" ref="A1:I49" totalsRowShown="0" headerRowDxfId="295" dataDxfId="293" headerRowBorderDxfId="294" tableBorderDxfId="292" totalsRowBorderDxfId="291">
  <autoFilter ref="A1:I49" xr:uid="{5D0FAB26-D36A-466A-A089-CDBB90E1DF59}"/>
  <tableColumns count="9">
    <tableColumn id="1" xr3:uid="{BEF0C67C-8866-48FA-A7DD-B3947368F2E4}" name="Name" dataDxfId="290">
      <calculatedColumnFormula>Table1567[[#This Row],[Full Name]]</calculatedColumnFormula>
    </tableColumn>
    <tableColumn id="12" xr3:uid="{CF7BE15B-9DB2-44F0-9D00-3E3F48E11D02}" name="Add to Summary" dataDxfId="289">
      <calculatedColumnFormula>IF(Table1567[[#This Row],[Full Name]]="","",IF(IFERROR(IFERROR(VLOOKUP(Table1567[[#This Row],[Full Name]],'Mens League'!B:B,1,FALSE),VLOOKUP(Table1567[[#This Row],[Full Name]],'Women''s League'!B:B,1,FALSE)),"NEEDS ADDING")="NEEDS ADDING","NEEDS ADDING","OK"))</calculatedColumnFormula>
    </tableColumn>
    <tableColumn id="10" xr3:uid="{DF750E66-490C-4887-9BDE-CA31A3277C58}" name="Points" dataDxfId="288">
      <calculatedColumnFormula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calculatedColumnFormula>
    </tableColumn>
    <tableColumn id="9" xr3:uid="{2D98786E-88FE-44DA-B499-5B9207AF1150}" name="Rank" dataDxfId="287">
      <calculatedColumnFormula>IF(Table1567[[#This Row],[Category]]="","",IF(Table1567[[#This Row],[Category]]="M",COUNTIF($I$2:$I2,"M"),IF(Table1567[[#This Row],[Category]]="F",COUNTIF($I$2:$I2,"F"),0)))</calculatedColumnFormula>
    </tableColumn>
    <tableColumn id="2" xr3:uid="{4685A819-2ED0-4BFA-B795-6E939A5065C9}" name="Position" dataDxfId="286"/>
    <tableColumn id="3" xr3:uid="{017D2A09-27D3-43CD-8A67-2EE5866AD9C6}" name="Time" dataDxfId="285"/>
    <tableColumn id="4" xr3:uid="{C2382B3A-3168-4AB6-80EF-5428A8F8A377}" name="Pace" dataDxfId="284"/>
    <tableColumn id="5" xr3:uid="{BBC01DF2-E652-40C5-93F6-BB870FBEA5A3}" name="Full Name" dataDxfId="283"/>
    <tableColumn id="6" xr3:uid="{BFBE7C51-0B47-4D53-B8FA-A1B6B76234C9}" name="Category" dataDxfId="28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1124662-AA7F-4522-A738-68C703B6FFB6}" name="Table125" displayName="Table125" ref="A1:I48" totalsRowShown="0" headerRowDxfId="281" dataDxfId="279" headerRowBorderDxfId="280" tableBorderDxfId="278" totalsRowBorderDxfId="277">
  <autoFilter ref="A1:I48" xr:uid="{5D0FAB26-D36A-466A-A089-CDBB90E1DF59}"/>
  <tableColumns count="9">
    <tableColumn id="1" xr3:uid="{FDD41FDE-2B97-46D7-A675-8609CFBF8CCE}" name="Name" dataDxfId="276">
      <calculatedColumnFormula>Table125[[#This Row],[Full Name]]</calculatedColumnFormula>
    </tableColumn>
    <tableColumn id="12" xr3:uid="{CECC843D-02AD-447B-B874-88FE3D68B87A}" name="Add to Summary" dataDxfId="275">
      <calculatedColumnFormula>IF(Table125[[#This Row],[Full Name]]="","",IF(IFERROR(IFERROR(VLOOKUP(Table125[[#This Row],[Full Name]],'Mens League'!B:B,1,FALSE),VLOOKUP(Table125[[#This Row],[Full Name]],'Women''s League'!B:B,1,FALSE)),"NEEDS ADDING")="NEEDS ADDING","NEEDS ADDING","OK"))</calculatedColumnFormula>
    </tableColumn>
    <tableColumn id="10" xr3:uid="{704DA9DB-4411-4BCC-91CF-1D4B6FAE604C}" name="Points" dataDxfId="274">
      <calculatedColumnFormula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calculatedColumnFormula>
    </tableColumn>
    <tableColumn id="9" xr3:uid="{FB03CA3A-9984-457B-A9F7-2B654D9ED089}" name="Rank" dataDxfId="273">
      <calculatedColumnFormula>IF(Table125[[#This Row],[Category]]="","",IF(Table125[[#This Row],[Category]]="M",COUNTIF($I$2:$I2,"M"),IF(Table125[[#This Row],[Category]]="F",COUNTIF($I$2:$I2,"F"),0)))</calculatedColumnFormula>
    </tableColumn>
    <tableColumn id="2" xr3:uid="{5CD89D2E-3A76-45CC-823E-D5CDA0BE0C25}" name="Position" dataDxfId="272"/>
    <tableColumn id="3" xr3:uid="{B41CD6A7-572E-4CE4-805D-AA944316DA16}" name="Time" dataDxfId="271"/>
    <tableColumn id="4" xr3:uid="{71BDB475-8CBB-4A19-9241-C3A1477E81DB}" name="Pace" dataDxfId="270"/>
    <tableColumn id="5" xr3:uid="{7A318390-7775-4D6C-B587-3DB52D2A7369}" name="Full Name" dataDxfId="269"/>
    <tableColumn id="6" xr3:uid="{C5A9DE9C-FB2E-49C3-A463-18939F75FB5B}" name="Category" dataDxfId="268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85335F-43AC-45CD-A67F-9BA411505F48}" name="Table15678" displayName="Table15678" ref="A1:I49" totalsRowShown="0" headerRowDxfId="267" dataDxfId="265" headerRowBorderDxfId="266" tableBorderDxfId="264" totalsRowBorderDxfId="263">
  <autoFilter ref="A1:I49" xr:uid="{5D0FAB26-D36A-466A-A089-CDBB90E1DF59}"/>
  <tableColumns count="9">
    <tableColumn id="1" xr3:uid="{500B95A0-2AD4-4DD9-882A-5F8BE4925514}" name="Name" dataDxfId="262">
      <calculatedColumnFormula>Table15678[[#This Row],[Full Name]]</calculatedColumnFormula>
    </tableColumn>
    <tableColumn id="12" xr3:uid="{A6252627-3A4F-46E7-9C35-36D5FBCF57B1}" name="Add to Summary" dataDxfId="261">
      <calculatedColumnFormula>IF(Table15678[[#This Row],[Full Name]]="","",IF(IFERROR(IFERROR(VLOOKUP(Table15678[[#This Row],[Full Name]],'Mens League'!B:B,1,FALSE),VLOOKUP(Table15678[[#This Row],[Full Name]],'Women''s League'!B:B,1,FALSE)),"NEEDS ADDING")="NEEDS ADDING","NEEDS ADDING","OK"))</calculatedColumnFormula>
    </tableColumn>
    <tableColumn id="10" xr3:uid="{E66A6A62-3E0B-4EF9-A5BE-A6DD2591C25C}" name="Points" dataDxfId="260">
      <calculatedColumnFormula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calculatedColumnFormula>
    </tableColumn>
    <tableColumn id="9" xr3:uid="{D6C7712D-5EB1-461C-A744-83AA32AF65C7}" name="Rank" dataDxfId="259">
      <calculatedColumnFormula>IF(Table15678[[#This Row],[Category]]="","",IF(Table15678[[#This Row],[Category]]="M",COUNTIF($I$2:$I2,"M"),IF(Table15678[[#This Row],[Category]]="F",COUNTIF($I$2:$I2,"F"),0)))</calculatedColumnFormula>
    </tableColumn>
    <tableColumn id="2" xr3:uid="{6B0123B0-5FBD-4853-95B5-F19747E2F46E}" name="Position" dataDxfId="258"/>
    <tableColumn id="3" xr3:uid="{52F7AFA6-FCB7-473E-852F-FCB221AFD7F4}" name="Time" dataDxfId="257"/>
    <tableColumn id="4" xr3:uid="{152857F7-3058-4CEB-9AB3-254DE95ECD0C}" name="Pace" dataDxfId="256"/>
    <tableColumn id="5" xr3:uid="{E280D540-CEAE-40E0-BBB4-46A361F51314}" name="Full Name" dataDxfId="255"/>
    <tableColumn id="6" xr3:uid="{F4B5E664-E188-4F04-9A97-C2F9B4D72245}" name="Category" dataDxfId="254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3BCC8C-4AFF-45E2-B990-1F4F652FF8DA}" name="Table15678910" displayName="Table15678910" ref="A1:I47" totalsRowShown="0" headerRowDxfId="253" dataDxfId="251" headerRowBorderDxfId="252" tableBorderDxfId="250" totalsRowBorderDxfId="249">
  <autoFilter ref="A1:I47" xr:uid="{5D0FAB26-D36A-466A-A089-CDBB90E1DF59}"/>
  <tableColumns count="9">
    <tableColumn id="1" xr3:uid="{A0718BD0-D153-4875-B402-A92C06A55405}" name="Name" dataDxfId="248">
      <calculatedColumnFormula>Table15678910[[#This Row],[Full Name]]</calculatedColumnFormula>
    </tableColumn>
    <tableColumn id="12" xr3:uid="{C006EB94-690C-40DD-9293-6E5BA8560D2B}" name="Add to Summary" dataDxfId="247">
      <calculatedColumnFormula>IF(Table15678910[[#This Row],[Full Name]]="","",IF(IFERROR(IFERROR(VLOOKUP(Table15678910[[#This Row],[Full Name]],'Mens League'!B:B,1,FALSE),VLOOKUP(Table15678910[[#This Row],[Full Name]],'Women''s League'!B:B,1,FALSE)),"NEEDS ADDING")="NEEDS ADDING","NEEDS ADDING","OK"))</calculatedColumnFormula>
    </tableColumn>
    <tableColumn id="10" xr3:uid="{1762A9C3-A2F9-4EA2-9C94-A7C8C114350D}" name="Points" dataDxfId="246">
      <calculatedColumnFormula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calculatedColumnFormula>
    </tableColumn>
    <tableColumn id="9" xr3:uid="{1F400E29-D7AC-4777-B58E-2F89A798BA6F}" name="Rank" dataDxfId="245">
      <calculatedColumnFormula>IF(Table15678910[[#This Row],[Category]]="","",IF(Table15678910[[#This Row],[Category]]="M",COUNTIF($I$2:$I2,"M"),IF(Table15678910[[#This Row],[Category]]="F",COUNTIF($I$2:$I2,"F"),0)))</calculatedColumnFormula>
    </tableColumn>
    <tableColumn id="2" xr3:uid="{D94389BC-461C-46D1-963D-CC060D4C9E37}" name="Position" dataDxfId="244"/>
    <tableColumn id="3" xr3:uid="{AA3C2760-9197-485D-A4C1-61D172102A37}" name="Time" dataDxfId="243"/>
    <tableColumn id="4" xr3:uid="{88A00842-FD4B-43E9-8AD4-CA5327A6F56A}" name="Pace" dataDxfId="242"/>
    <tableColumn id="5" xr3:uid="{5E16288C-FF3D-415E-B8A6-978C68D8F3E8}" name="Full Name" dataDxfId="241"/>
    <tableColumn id="6" xr3:uid="{20F41156-6B36-4960-8F4C-A5E2EE435D9E}" name="Category" dataDxfId="24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AEF6F5-7535-4ABF-AE06-A4BBA5AAC28A}" name="Table156789" displayName="Table156789" ref="A1:I48" totalsRowShown="0" headerRowDxfId="239" dataDxfId="237" headerRowBorderDxfId="238" tableBorderDxfId="236" totalsRowBorderDxfId="235">
  <autoFilter ref="A1:I48" xr:uid="{5D0FAB26-D36A-466A-A089-CDBB90E1DF59}"/>
  <tableColumns count="9">
    <tableColumn id="1" xr3:uid="{85DB513B-B838-4BA5-A34A-19C3C205DF91}" name="Name" dataDxfId="234">
      <calculatedColumnFormula>Table156789[[#This Row],[Full Name]]</calculatedColumnFormula>
    </tableColumn>
    <tableColumn id="12" xr3:uid="{3F0F5C4F-AB35-47A8-8182-85576BA7AB9A}" name="Add to Summary" dataDxfId="233">
      <calculatedColumnFormula>IF(Table156789[[#This Row],[Full Name]]="","",IF(IFERROR(IFERROR(VLOOKUP(Table156789[[#This Row],[Full Name]],'Mens League'!B:B,1,FALSE),VLOOKUP(Table156789[[#This Row],[Full Name]],'Women''s League'!B:B,1,FALSE)),"NEEDS ADDING")="NEEDS ADDING","NEEDS ADDING","OK"))</calculatedColumnFormula>
    </tableColumn>
    <tableColumn id="10" xr3:uid="{38A664A7-2A82-4688-96DA-E2791C16DB1D}" name="Points" dataDxfId="232">
      <calculatedColumnFormula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calculatedColumnFormula>
    </tableColumn>
    <tableColumn id="9" xr3:uid="{D3ACE040-E262-4F9B-9761-6D87094BA03D}" name="Rank" dataDxfId="231">
      <calculatedColumnFormula>IF(Table156789[[#This Row],[Category]]="","",IF(Table156789[[#This Row],[Category]]="M",COUNTIF($I$2:$I2,"M"),IF(Table156789[[#This Row],[Category]]="F",COUNTIF($I$2:$I2,"F"),0)))</calculatedColumnFormula>
    </tableColumn>
    <tableColumn id="2" xr3:uid="{3AC49216-413B-4602-AEC1-B1018614DB81}" name="Position" dataDxfId="230"/>
    <tableColumn id="3" xr3:uid="{414EE805-04D3-4211-9B38-75EC59FAA4AC}" name="Time" dataDxfId="229"/>
    <tableColumn id="4" xr3:uid="{26BF3713-EAE3-4A0D-9D60-D802360A9D0C}" name="Pace" dataDxfId="228"/>
    <tableColumn id="5" xr3:uid="{F4FCEE04-8CF5-441C-853C-6A509985D196}" name="Full Name" dataDxfId="227"/>
    <tableColumn id="6" xr3:uid="{90B1A167-A2FA-42EB-BA58-E848DD82AAA7}" name="Category" dataDxfId="22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958D96-E247-473D-B662-1D4ACC5A6607}" name="Table1567891011" displayName="Table1567891011" ref="A1:I47" totalsRowShown="0" headerRowDxfId="225" dataDxfId="223" headerRowBorderDxfId="224" tableBorderDxfId="222" totalsRowBorderDxfId="221">
  <autoFilter ref="A1:I47" xr:uid="{5D0FAB26-D36A-466A-A089-CDBB90E1DF59}"/>
  <tableColumns count="9">
    <tableColumn id="1" xr3:uid="{389420E5-3A09-4B87-9C57-8C7DFD2236C3}" name="Name" dataDxfId="220">
      <calculatedColumnFormula>Table1567891011[[#This Row],[Full Name]]</calculatedColumnFormula>
    </tableColumn>
    <tableColumn id="12" xr3:uid="{47B29F64-ABF1-4297-A7A4-A8A7F0324484}" name="Add to Summary" dataDxfId="219">
      <calculatedColumnFormula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calculatedColumnFormula>
    </tableColumn>
    <tableColumn id="10" xr3:uid="{7EFB7D66-F14F-4924-AA4E-F271F6E6EFBE}" name="Points" dataDxfId="218">
      <calculatedColumnFormula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calculatedColumnFormula>
    </tableColumn>
    <tableColumn id="9" xr3:uid="{5DF98F3C-81A3-4F6B-897B-9346E3751D02}" name="Rank" dataDxfId="217">
      <calculatedColumnFormula>IF(Table1567891011[[#This Row],[Category]]="","",IF(Table1567891011[[#This Row],[Category]]="M",COUNTIF($I$2:$I2,"M"),IF(Table1567891011[[#This Row],[Category]]="F",COUNTIF($I$2:$I2,"F"),0)))</calculatedColumnFormula>
    </tableColumn>
    <tableColumn id="2" xr3:uid="{05298311-1234-4751-83AB-349AEE39606F}" name="Position" dataDxfId="216"/>
    <tableColumn id="3" xr3:uid="{877D46B6-8971-4712-B3A8-2AE91A31166B}" name="Time" dataDxfId="215"/>
    <tableColumn id="4" xr3:uid="{10FC5220-731F-4251-80A9-81439987CFF1}" name="Pace" dataDxfId="214"/>
    <tableColumn id="5" xr3:uid="{1940E1CF-11D5-4F81-8603-23EE51B9BB80}" name="Full Name" dataDxfId="213"/>
    <tableColumn id="6" xr3:uid="{254D158D-A76C-4446-AFC4-FCBB6634D6F9}" name="Category" dataDxfId="212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E0C06CC-E4AA-4505-934D-6EA34D9852D1}" name="Table156789101112" displayName="Table156789101112" ref="A1:I67" totalsRowShown="0" headerRowDxfId="211" dataDxfId="209" headerRowBorderDxfId="210" tableBorderDxfId="208" totalsRowBorderDxfId="207">
  <autoFilter ref="A1:I67" xr:uid="{5D0FAB26-D36A-466A-A089-CDBB90E1DF59}"/>
  <tableColumns count="9">
    <tableColumn id="1" xr3:uid="{13AAADAD-1131-4721-8AB5-89C634878364}" name="Name" dataDxfId="206">
      <calculatedColumnFormula>Table156789101112[[#This Row],[Full Name]]</calculatedColumnFormula>
    </tableColumn>
    <tableColumn id="12" xr3:uid="{2317836D-E325-4E53-A702-5EF5930C1629}" name="Add to Summary" dataDxfId="205">
      <calculatedColumnFormula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calculatedColumnFormula>
    </tableColumn>
    <tableColumn id="10" xr3:uid="{CE1598DC-8097-4238-B32F-BB019091A1F4}" name="Points" dataDxfId="204">
      <calculatedColumnFormula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calculatedColumnFormula>
    </tableColumn>
    <tableColumn id="9" xr3:uid="{34A97AE6-D7CA-4688-9CAB-233C30587084}" name="Rank" dataDxfId="203">
      <calculatedColumnFormula>IF(Table156789101112[[#This Row],[Category]]="","",IF(Table156789101112[[#This Row],[Category]]="M",COUNTIF($I$2:$I2,"M"),IF(Table156789101112[[#This Row],[Category]]="F",COUNTIF($I$2:$I2,"F"),0)))</calculatedColumnFormula>
    </tableColumn>
    <tableColumn id="2" xr3:uid="{4E559A26-0732-41D8-8624-3AAEB64E6F46}" name="Position" dataDxfId="202"/>
    <tableColumn id="3" xr3:uid="{8615412E-1A3F-47B8-A361-7460813D65E5}" name="Time" dataDxfId="201"/>
    <tableColumn id="4" xr3:uid="{5FC882F3-0F68-4221-92EA-82888C81C08D}" name="Pace" dataDxfId="200"/>
    <tableColumn id="5" xr3:uid="{B8422ECC-9FCA-49A1-AFFB-791FBAEF5144}" name="Full Name" dataDxfId="199"/>
    <tableColumn id="6" xr3:uid="{D54A3721-5738-4467-8BA4-032BDB704982}" name="Category" dataDxfId="198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D7459F9-9B1F-4B20-A939-476A66D8DB9D}" name="Table1567891314" displayName="Table1567891314" ref="A1:I48" totalsRowShown="0" headerRowDxfId="197" dataDxfId="195" headerRowBorderDxfId="196" tableBorderDxfId="194" totalsRowBorderDxfId="193">
  <autoFilter ref="A1:I48" xr:uid="{5D0FAB26-D36A-466A-A089-CDBB90E1DF59}"/>
  <tableColumns count="9">
    <tableColumn id="1" xr3:uid="{599E7B06-C8FB-4CED-AA3C-F2E9DE3C8FC8}" name="Name" dataDxfId="192">
      <calculatedColumnFormula>Table1567891314[[#This Row],[Full Name]]</calculatedColumnFormula>
    </tableColumn>
    <tableColumn id="12" xr3:uid="{4D26D661-CFFC-4F30-BFD4-BD654569E37E}" name="Add to Summary" dataDxfId="191">
      <calculatedColumnFormula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calculatedColumnFormula>
    </tableColumn>
    <tableColumn id="10" xr3:uid="{FD523A6D-9D64-4C2B-88AD-FD60F0831F6C}" name="Points" dataDxfId="190">
      <calculatedColumnFormula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calculatedColumnFormula>
    </tableColumn>
    <tableColumn id="9" xr3:uid="{EFCE7CE9-0DFC-4ECE-A418-950B7D2FF3A8}" name="Rank" dataDxfId="189">
      <calculatedColumnFormula>IF(Table1567891314[[#This Row],[Category]]="","",IF(Table1567891314[[#This Row],[Category]]="M",COUNTIF($I$2:$I2,"M"),IF(Table1567891314[[#This Row],[Category]]="F",COUNTIF($I$2:$I2,"F"),0)))</calculatedColumnFormula>
    </tableColumn>
    <tableColumn id="2" xr3:uid="{A76096BF-A747-463F-A806-A90B7C662DD6}" name="Position" dataDxfId="188"/>
    <tableColumn id="3" xr3:uid="{7472192B-7814-4033-879C-FC5D8B029FDD}" name="Time" dataDxfId="187"/>
    <tableColumn id="4" xr3:uid="{6805381A-730D-4C7C-88E9-AC5028BE997C}" name="Pace" dataDxfId="186"/>
    <tableColumn id="5" xr3:uid="{81AA85F2-E2AA-4AE4-BD6A-FDDF26AC06BB}" name="Full Name" dataDxfId="185"/>
    <tableColumn id="6" xr3:uid="{6E8AD999-AEAA-4DBF-8260-AD978BFC35BB}" name="Category" dataDxfId="184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6BAD7A-C4D3-40D7-BB4B-CC9410774FD2}" name="Table15678913" displayName="Table15678913" ref="A1:I48" totalsRowShown="0" headerRowDxfId="183" dataDxfId="181" headerRowBorderDxfId="182" tableBorderDxfId="180" totalsRowBorderDxfId="179">
  <autoFilter ref="A1:I48" xr:uid="{5D0FAB26-D36A-466A-A089-CDBB90E1DF59}"/>
  <tableColumns count="9">
    <tableColumn id="1" xr3:uid="{9892B7AE-A86A-468C-80B5-34695757606F}" name="Name" dataDxfId="178">
      <calculatedColumnFormula>Table15678913[[#This Row],[Full Name]]</calculatedColumnFormula>
    </tableColumn>
    <tableColumn id="12" xr3:uid="{AEE240EB-17A6-4A5D-A5A0-06E5555D50A6}" name="Add to Summary" dataDxfId="177">
      <calculatedColumnFormula>IF(Table15678913[[#This Row],[Full Name]]="","",IF(IFERROR(IFERROR(VLOOKUP(Table15678913[[#This Row],[Full Name]],'Mens League'!B:B,1,FALSE),VLOOKUP(Table15678913[[#This Row],[Full Name]],'Women''s League'!B:B,1,FALSE)),"NEEDS ADDING")="NEEDS ADDING","NEEDS ADDING","OK"))</calculatedColumnFormula>
    </tableColumn>
    <tableColumn id="10" xr3:uid="{27F6C405-D05C-4E7E-B382-1A1CC9FAFCE4}" name="Points" dataDxfId="176">
      <calculatedColumnFormula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calculatedColumnFormula>
    </tableColumn>
    <tableColumn id="9" xr3:uid="{E56EC529-EB29-46F8-974F-F81B5615780A}" name="Rank" dataDxfId="175">
      <calculatedColumnFormula>IF(Table15678913[[#This Row],[Category]]="","",IF(Table15678913[[#This Row],[Category]]="M",COUNTIF($I$2:$I2,"M"),IF(Table15678913[[#This Row],[Category]]="F",COUNTIF($I$2:$I2,"F"),0)))</calculatedColumnFormula>
    </tableColumn>
    <tableColumn id="2" xr3:uid="{2F0F3940-2376-4DC3-AA6C-F893A6391EEE}" name="Position" dataDxfId="174"/>
    <tableColumn id="3" xr3:uid="{051D7977-A0D1-484E-A65A-58C9DEBC906F}" name="Time" dataDxfId="173"/>
    <tableColumn id="4" xr3:uid="{3E074704-348E-4249-A585-22A93C1CD98E}" name="Pace" dataDxfId="172"/>
    <tableColumn id="5" xr3:uid="{17CF588B-4B90-472B-AB8D-42C2FAB3AAEA}" name="Full Name" dataDxfId="171"/>
    <tableColumn id="6" xr3:uid="{307C3FB6-6FBB-4243-93F6-5731385D38A3}" name="Category" dataDxfId="170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0DFD8E5-040C-4633-A236-B7BC247D415E}" name="Table1515" displayName="Table1515" ref="A1:I47" totalsRowShown="0" headerRowDxfId="169" dataDxfId="167" headerRowBorderDxfId="168" tableBorderDxfId="166" totalsRowBorderDxfId="165">
  <autoFilter ref="A1:I47" xr:uid="{5D0FAB26-D36A-466A-A089-CDBB90E1DF59}"/>
  <tableColumns count="9">
    <tableColumn id="1" xr3:uid="{ED3B3D8B-2EE1-4344-B439-5F87BC1AC3C0}" name="Name" dataDxfId="164">
      <calculatedColumnFormula>Table1515[[#This Row],[Full Name]]</calculatedColumnFormula>
    </tableColumn>
    <tableColumn id="12" xr3:uid="{38858974-ACC1-4FDA-B2B9-5EC68E294ABC}" name="Add to Summary" dataDxfId="163">
      <calculatedColumnFormula>IF(Table1515[[#This Row],[Full Name]]="","",IF(IFERROR(IFERROR(VLOOKUP(Table1515[[#This Row],[Full Name]],'Mens League'!B:B,1,FALSE),VLOOKUP(Table1515[[#This Row],[Full Name]],'Women''s League'!B:B,1,FALSE)),"NEEDS ADDING")="NEEDS ADDING","NEEDS ADDING","OK"))</calculatedColumnFormula>
    </tableColumn>
    <tableColumn id="10" xr3:uid="{A35AFF06-83CE-446A-A449-B4FE7F7EF511}" name="Points" dataDxfId="162">
      <calculatedColumnFormula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calculatedColumnFormula>
    </tableColumn>
    <tableColumn id="9" xr3:uid="{B6342DA3-7524-4598-8039-2A5B1DD3E62B}" name="Rank" dataDxfId="161">
      <calculatedColumnFormula>IF(Table1515[[#This Row],[Category]]="","",IF(Table1515[[#This Row],[Category]]="M",COUNTIF($I$2:$I2,"M"),IF(Table1515[[#This Row],[Category]]="F",COUNTIF($I$2:$I2,"F"),0)))</calculatedColumnFormula>
    </tableColumn>
    <tableColumn id="2" xr3:uid="{607D9E80-EF88-438D-88D9-628D27E61301}" name="Position" dataDxfId="160"/>
    <tableColumn id="3" xr3:uid="{7BED1A9D-B0DF-40E3-8820-32AFD3944F35}" name="Time" dataDxfId="159"/>
    <tableColumn id="4" xr3:uid="{0A9D288E-AF62-45DF-8F2A-15477F9A7C30}" name="Pace" dataDxfId="158"/>
    <tableColumn id="5" xr3:uid="{21A5ECE6-9EAA-435A-9A43-5B34CD963660}" name="Full Name" dataDxfId="157"/>
    <tableColumn id="6" xr3:uid="{D9743C78-61C1-4794-AEB2-6C11FCF146EE}" name="Category" dataDxfId="156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A4D9E4F-F926-4163-9A65-4289F837C2D2}" name="Table151516" displayName="Table151516" ref="A1:I48" totalsRowShown="0" headerRowDxfId="155" dataDxfId="153" headerRowBorderDxfId="154" tableBorderDxfId="152" totalsRowBorderDxfId="151">
  <autoFilter ref="A1:I48" xr:uid="{5D0FAB26-D36A-466A-A089-CDBB90E1DF59}"/>
  <tableColumns count="9">
    <tableColumn id="1" xr3:uid="{1D97A5A4-F563-4117-8773-E48F8781EE61}" name="Name" dataDxfId="150">
      <calculatedColumnFormula>Table151516[[#This Row],[Full Name]]</calculatedColumnFormula>
    </tableColumn>
    <tableColumn id="12" xr3:uid="{B17BCEE6-E473-4D48-B2F1-9A05CB29199D}" name="Add to Summary" dataDxfId="149">
      <calculatedColumnFormula>IF(Table151516[[#This Row],[Full Name]]="","",IF(IFERROR(IFERROR(VLOOKUP(Table151516[[#This Row],[Full Name]],'Mens League'!B:B,1,FALSE),VLOOKUP(Table151516[[#This Row],[Full Name]],'Women''s League'!B:B,1,FALSE)),"NEEDS ADDING")="NEEDS ADDING","NEEDS ADDING","OK"))</calculatedColumnFormula>
    </tableColumn>
    <tableColumn id="10" xr3:uid="{1C7598A1-F524-40A0-AC93-B7D7D590B350}" name="Points" dataDxfId="148">
      <calculatedColumnFormula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calculatedColumnFormula>
    </tableColumn>
    <tableColumn id="9" xr3:uid="{F61B4681-2393-43AB-B642-8238EBBA6834}" name="Rank" dataDxfId="147">
      <calculatedColumnFormula>IF(Table151516[[#This Row],[Category]]="","",IF(Table151516[[#This Row],[Category]]="M",COUNTIF($I$2:$I2,"M"),IF(Table151516[[#This Row],[Category]]="F",COUNTIF($I$2:$I2,"F"),0)))</calculatedColumnFormula>
    </tableColumn>
    <tableColumn id="2" xr3:uid="{405C0647-09C6-4CC4-BFB1-DF7E8414C9EC}" name="Position" dataDxfId="146"/>
    <tableColumn id="3" xr3:uid="{9BD003FE-0A20-4057-B717-70BBAA1915DD}" name="Time" dataDxfId="145"/>
    <tableColumn id="4" xr3:uid="{90FB3E1E-D940-457F-9C7A-BB807317C978}" name="Pace" dataDxfId="144"/>
    <tableColumn id="5" xr3:uid="{38D8BF4F-9A76-4B90-B57B-CCCCB4F78449}" name="Full Name" dataDxfId="143"/>
    <tableColumn id="6" xr3:uid="{089CD84F-44A2-4208-969A-5153B984CEC9}" name="Category" dataDxfId="142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E4D40EB-2136-44F1-9718-29E6A0B1F8C6}" name="Table156789131419" displayName="Table156789131419" ref="A1:I48" totalsRowShown="0" headerRowDxfId="141" dataDxfId="139" headerRowBorderDxfId="140" tableBorderDxfId="138" totalsRowBorderDxfId="137">
  <autoFilter ref="A1:I48" xr:uid="{5D0FAB26-D36A-466A-A089-CDBB90E1DF59}"/>
  <tableColumns count="9">
    <tableColumn id="1" xr3:uid="{EEF89BEE-DEDB-4CD7-9F9B-238727CCEBA8}" name="Name" dataDxfId="136">
      <calculatedColumnFormula>Table156789131419[[#This Row],[Full Name]]</calculatedColumnFormula>
    </tableColumn>
    <tableColumn id="12" xr3:uid="{FD8B22A8-15A9-473E-98F9-F3DAD8A50C86}" name="Add to Summary" dataDxfId="135">
      <calculatedColumnFormula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calculatedColumnFormula>
    </tableColumn>
    <tableColumn id="10" xr3:uid="{673BD169-1026-49B5-950C-2B3C16C1EAD0}" name="Points" dataDxfId="134">
      <calculatedColumnFormula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calculatedColumnFormula>
    </tableColumn>
    <tableColumn id="9" xr3:uid="{EE6CAF20-FF71-444F-834B-43C365930DEB}" name="Rank" dataDxfId="133">
      <calculatedColumnFormula>IF(Table156789131419[[#This Row],[Category]]="","",IF(Table156789131419[[#This Row],[Category]]="M",COUNTIF($I$2:$I2,"M"),IF(Table156789131419[[#This Row],[Category]]="F",COUNTIF($I$2:$I2,"F"),0)))</calculatedColumnFormula>
    </tableColumn>
    <tableColumn id="2" xr3:uid="{0050DF26-B942-4BE6-AC1C-13C8D6A06FE8}" name="Position" dataDxfId="132"/>
    <tableColumn id="3" xr3:uid="{380B43D4-9C92-4B58-B683-23E155DACBC4}" name="Time" dataDxfId="131"/>
    <tableColumn id="4" xr3:uid="{ABA304F3-E14A-471C-870D-B6BAC307F6FD}" name="Pace" dataDxfId="130"/>
    <tableColumn id="5" xr3:uid="{A443FB15-A97D-454B-9EA5-169A298CCC4B}" name="Full Name" dataDxfId="129"/>
    <tableColumn id="6" xr3:uid="{D573ED1D-EC00-49F2-8CC6-413703BB413B}" name="Category" dataDxfId="128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B593F79-0910-440D-9F4C-B7ECDC1DF622}" name="Table15678913141920" displayName="Table15678913141920" ref="A1:I48" totalsRowShown="0" headerRowDxfId="127" dataDxfId="125" headerRowBorderDxfId="126" tableBorderDxfId="124" totalsRowBorderDxfId="123">
  <autoFilter ref="A1:I48" xr:uid="{5D0FAB26-D36A-466A-A089-CDBB90E1DF59}"/>
  <tableColumns count="9">
    <tableColumn id="1" xr3:uid="{754A4355-54EC-46D4-B58B-13AF690FA86C}" name="Name" dataDxfId="122">
      <calculatedColumnFormula>Table15678913141920[[#This Row],[Full Name]]</calculatedColumnFormula>
    </tableColumn>
    <tableColumn id="12" xr3:uid="{4B251611-E0EC-44B2-93CC-A08309F31D7F}" name="Add to Summary" dataDxfId="121">
      <calculatedColumnFormula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calculatedColumnFormula>
    </tableColumn>
    <tableColumn id="10" xr3:uid="{F28853FA-2244-4ADF-9785-0B9847E8639F}" name="Points" dataDxfId="120">
      <calculatedColumnFormula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calculatedColumnFormula>
    </tableColumn>
    <tableColumn id="9" xr3:uid="{39CA4C01-0C92-4BD9-B6B9-4B019048093C}" name="Rank" dataDxfId="119">
      <calculatedColumnFormula>IF(Table15678913141920[[#This Row],[Category]]="","",IF(Table15678913141920[[#This Row],[Category]]="M",COUNTIF($I$2:$I2,"M"),IF(Table15678913141920[[#This Row],[Category]]="F",COUNTIF($I$2:$I2,"F"),0)))</calculatedColumnFormula>
    </tableColumn>
    <tableColumn id="2" xr3:uid="{EFAF2697-FACC-4D04-ABAF-8C8D3CC600DD}" name="Position" dataDxfId="118"/>
    <tableColumn id="3" xr3:uid="{886B7E69-C3AC-4714-9B70-075D7C20EA1C}" name="Time" dataDxfId="117"/>
    <tableColumn id="4" xr3:uid="{B2C1BABE-D21A-4FC6-9402-191C7FF455B5}" name="Pace" dataDxfId="116"/>
    <tableColumn id="5" xr3:uid="{A7CB817B-4AE0-493A-B77F-77D9BEEB4D90}" name="Full Name" dataDxfId="115"/>
    <tableColumn id="6" xr3:uid="{CF51A086-0A68-4388-9A00-3B291D121874}" name="Category" dataDxfId="114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DFDE2F9-E961-4CEE-9590-2357CCA91336}" name="Table1567891314192021" displayName="Table1567891314192021" ref="A1:I49" totalsRowShown="0" headerRowDxfId="113" dataDxfId="111" headerRowBorderDxfId="112" tableBorderDxfId="110" totalsRowBorderDxfId="109">
  <autoFilter ref="A1:I49" xr:uid="{5D0FAB26-D36A-466A-A089-CDBB90E1DF59}"/>
  <tableColumns count="9">
    <tableColumn id="1" xr3:uid="{9322E325-765D-474F-B2BF-260E5E860E8A}" name="Name" dataDxfId="108">
      <calculatedColumnFormula>Table1567891314192021[[#This Row],[Full Name]]</calculatedColumnFormula>
    </tableColumn>
    <tableColumn id="12" xr3:uid="{7AD045C4-A2A2-4488-AE4F-94D8C9174715}" name="Add to Summary" dataDxfId="107">
      <calculatedColumnFormula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calculatedColumnFormula>
    </tableColumn>
    <tableColumn id="10" xr3:uid="{5EC25A01-638C-421D-809F-61246A103653}" name="Points" dataDxfId="106">
      <calculatedColumnFormula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calculatedColumnFormula>
    </tableColumn>
    <tableColumn id="9" xr3:uid="{CC28874A-A1AA-4DB4-90FA-BACD9F885DA7}" name="Rank" dataDxfId="105">
      <calculatedColumnFormula>IF(Table1567891314192021[[#This Row],[Category]]="","",IF(Table1567891314192021[[#This Row],[Category]]="M",COUNTIF($I$2:$I2,"M"),IF(Table1567891314192021[[#This Row],[Category]]="F",COUNTIF($I$2:$I2,"F"),0)))</calculatedColumnFormula>
    </tableColumn>
    <tableColumn id="2" xr3:uid="{496951B6-F28A-48C8-85FE-DAA973B6341D}" name="Position" dataDxfId="104"/>
    <tableColumn id="3" xr3:uid="{10550262-0B94-4DFC-A558-423C86E05A8F}" name="Time" dataDxfId="103"/>
    <tableColumn id="4" xr3:uid="{06F920ED-CC77-4F0C-9009-FA19EF3C4985}" name="Pace" dataDxfId="102"/>
    <tableColumn id="5" xr3:uid="{BDA238D1-A6CC-4A65-B3AE-25BF6EF3BE81}" name="Full Name" dataDxfId="101"/>
    <tableColumn id="6" xr3:uid="{F82D7855-628B-484F-8527-FEDA3AC3BD75}" name="Category" dataDxfId="100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0825F07-3BC2-4DCB-99C9-093719B735B3}" name="Table15151617" displayName="Table15151617" ref="A1:I46" totalsRowShown="0" headerRowDxfId="99" dataDxfId="97" headerRowBorderDxfId="98" tableBorderDxfId="96" totalsRowBorderDxfId="95">
  <autoFilter ref="A1:I46" xr:uid="{5D0FAB26-D36A-466A-A089-CDBB90E1DF59}"/>
  <tableColumns count="9">
    <tableColumn id="1" xr3:uid="{20AE176A-3523-4C75-8B3F-4FDBDF74C4B4}" name="Name" dataDxfId="94">
      <calculatedColumnFormula>Table15151617[[#This Row],[Full Name]]</calculatedColumnFormula>
    </tableColumn>
    <tableColumn id="12" xr3:uid="{CC5BF8BE-87AD-449C-9949-0105AC35D915}" name="Add to Summary" dataDxfId="93">
      <calculatedColumnFormula>IF(Table15151617[[#This Row],[Full Name]]="","",IF(IFERROR(IFERROR(VLOOKUP(Table15151617[[#This Row],[Full Name]],'Mens League'!B:B,1,FALSE),VLOOKUP(Table15151617[[#This Row],[Full Name]],'Women''s League'!B:B,1,FALSE)),"NEEDS ADDING")="NEEDS ADDING","NEEDS ADDING","OK"))</calculatedColumnFormula>
    </tableColumn>
    <tableColumn id="10" xr3:uid="{8D13D21D-B6CB-4DE5-A7C4-3B474819B504}" name="Points" dataDxfId="92">
      <calculatedColumnFormula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calculatedColumnFormula>
    </tableColumn>
    <tableColumn id="9" xr3:uid="{76138FBE-8269-4D4B-995F-8AD13B6D8375}" name="Rank" dataDxfId="91">
      <calculatedColumnFormula>IF(Table15151617[[#This Row],[Category]]="","",IF(Table15151617[[#This Row],[Category]]="M",COUNTIF($I$2:$I2,"M"),IF(Table15151617[[#This Row],[Category]]="F",COUNTIF($I$2:$I2,"F"),0)))</calculatedColumnFormula>
    </tableColumn>
    <tableColumn id="2" xr3:uid="{FAD88A77-B52A-4040-AA86-BE9C070D6CAE}" name="Position" dataDxfId="90"/>
    <tableColumn id="3" xr3:uid="{0AEE7DEF-3D1C-4B48-98B2-29EF25BE9D62}" name="Time" dataDxfId="89"/>
    <tableColumn id="4" xr3:uid="{FE827422-17DD-48E5-BFAF-6E8DE0A42551}" name="Pace" dataDxfId="88"/>
    <tableColumn id="5" xr3:uid="{8B0A9FFB-2807-4FFA-846A-8E5B43A28C61}" name="Full Name" dataDxfId="87"/>
    <tableColumn id="6" xr3:uid="{A53BDC11-5D54-4565-B870-95C86FB40249}" name="Category" dataDxfId="86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4259546-141F-48E8-AEA7-4679A3177C1C}" name="Table1515161718" displayName="Table1515161718" ref="A1:I50" totalsRowShown="0" headerRowDxfId="85" dataDxfId="83" headerRowBorderDxfId="84" tableBorderDxfId="82" totalsRowBorderDxfId="81">
  <autoFilter ref="A1:I50" xr:uid="{5D0FAB26-D36A-466A-A089-CDBB90E1DF59}"/>
  <tableColumns count="9">
    <tableColumn id="1" xr3:uid="{034BAFC2-306F-4030-A993-E38B6BEE8000}" name="Name" dataDxfId="80">
      <calculatedColumnFormula>Table1515161718[[#This Row],[Full Name]]</calculatedColumnFormula>
    </tableColumn>
    <tableColumn id="12" xr3:uid="{DBABC37A-BDA4-402B-AF07-F5FC6A121B49}" name="Add to Summary" dataDxfId="79">
      <calculatedColumnFormula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calculatedColumnFormula>
    </tableColumn>
    <tableColumn id="10" xr3:uid="{647FC579-1C3D-4794-B335-D8F69DC9D715}" name="Points" dataDxfId="78">
      <calculatedColumnFormula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calculatedColumnFormula>
    </tableColumn>
    <tableColumn id="9" xr3:uid="{4B0249E8-5D89-4645-B5F3-844EED277840}" name="Rank" dataDxfId="77">
      <calculatedColumnFormula>IF(Table1515161718[[#This Row],[Category]]="","",IF(Table1515161718[[#This Row],[Category]]="M",COUNTIF($I$2:$I2,"M"),IF(Table1515161718[[#This Row],[Category]]="F",COUNTIF($I$2:$I2,"F"),0)))</calculatedColumnFormula>
    </tableColumn>
    <tableColumn id="2" xr3:uid="{9541F05E-D40D-4249-929A-DEC5AC3857F9}" name="Position" dataDxfId="76"/>
    <tableColumn id="3" xr3:uid="{9D04893B-28A2-4193-953D-809FF5614E83}" name="Time" dataDxfId="75"/>
    <tableColumn id="4" xr3:uid="{6B411EFA-FF8C-4F0D-B417-FB9A8013E00B}" name="Pace" dataDxfId="74"/>
    <tableColumn id="5" xr3:uid="{0D46016F-395A-4625-9647-017A21EAC2B2}" name="Full Name" dataDxfId="73"/>
    <tableColumn id="6" xr3:uid="{6D87C261-9ECD-46A0-B1E6-668659497A0E}" name="Category" dataDxfId="72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14F7F4C-5BF4-453D-A8E4-C252428609CE}" name="Table1515161726" displayName="Table1515161726" ref="A1:I47" totalsRowShown="0" headerRowDxfId="71" dataDxfId="69" headerRowBorderDxfId="70" tableBorderDxfId="68" totalsRowBorderDxfId="67">
  <autoFilter ref="A1:I47" xr:uid="{5D0FAB26-D36A-466A-A089-CDBB90E1DF59}"/>
  <tableColumns count="9">
    <tableColumn id="1" xr3:uid="{17D67A52-1D75-4B98-A989-ABF150BA3418}" name="Name" dataDxfId="66">
      <calculatedColumnFormula>Table1515161726[[#This Row],[Full Name]]</calculatedColumnFormula>
    </tableColumn>
    <tableColumn id="12" xr3:uid="{73CE4692-96EC-45A1-B705-01DDFE60CA96}" name="Add to Summary" dataDxfId="65">
      <calculatedColumnFormula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calculatedColumnFormula>
    </tableColumn>
    <tableColumn id="10" xr3:uid="{69CAAED2-F2D0-4AD0-81B2-735B576C668D}" name="Points" dataDxfId="64">
      <calculatedColumnFormula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calculatedColumnFormula>
    </tableColumn>
    <tableColumn id="9" xr3:uid="{9F281004-D4A1-450C-AD87-934B68B64FB2}" name="Rank" dataDxfId="63">
      <calculatedColumnFormula>IF(Table1515161726[[#This Row],[Category]]="","",IF(Table1515161726[[#This Row],[Category]]="M",COUNTIF($I$2:$I2,"M"),IF(Table1515161726[[#This Row],[Category]]="F",COUNTIF($I$2:$I2,"F"),0)))</calculatedColumnFormula>
    </tableColumn>
    <tableColumn id="2" xr3:uid="{2F505C2E-7172-4ED5-B6AC-5BD043AD7E40}" name="Position" dataDxfId="62"/>
    <tableColumn id="3" xr3:uid="{097F24C7-24A1-4A9F-BA66-8EBA52FFEA25}" name="Time" dataDxfId="61"/>
    <tableColumn id="4" xr3:uid="{0B2CD4DE-30A4-4DEC-BB88-2882BFEFF82E}" name="Pace" dataDxfId="60"/>
    <tableColumn id="5" xr3:uid="{DB037AD3-231C-4904-8EC4-B661AC79514F}" name="Full Name" dataDxfId="59"/>
    <tableColumn id="6" xr3:uid="{AF807B61-D604-40AF-B725-172E2AC68AC2}" name="Category" dataDxfId="58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3E4D89E-80B3-403F-8EBF-419FA27B1718}" name="Table151516172627" displayName="Table151516172627" ref="A1:I47" totalsRowShown="0" headerRowDxfId="57" dataDxfId="56" headerRowBorderDxfId="54" tableBorderDxfId="55" totalsRowBorderDxfId="53">
  <autoFilter ref="A1:I47" xr:uid="{5D0FAB26-D36A-466A-A089-CDBB90E1DF59}"/>
  <tableColumns count="9">
    <tableColumn id="1" xr3:uid="{A067B782-FBEC-4C9F-B49C-BDDB301461E6}" name="Name" dataDxfId="52">
      <calculatedColumnFormula>Table151516172627[[#This Row],[Full Name]]</calculatedColumnFormula>
    </tableColumn>
    <tableColumn id="12" xr3:uid="{96A232E8-AD67-4753-A672-97830C58490C}" name="Add to Summary" dataDxfId="51">
      <calculatedColumnFormula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calculatedColumnFormula>
    </tableColumn>
    <tableColumn id="10" xr3:uid="{BA53DB43-3112-4204-AB81-AA7430A28719}" name="Points" dataDxfId="50">
      <calculatedColumnFormula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calculatedColumnFormula>
    </tableColumn>
    <tableColumn id="9" xr3:uid="{7CC80091-D333-437F-A96C-B77EFA72FAC7}" name="Rank" dataDxfId="49">
      <calculatedColumnFormula>IF(Table151516172627[[#This Row],[Category]]="","",IF(Table151516172627[[#This Row],[Category]]="M",COUNTIF($I$2:$I2,"M"),IF(Table151516172627[[#This Row],[Category]]="F",COUNTIF($I$2:$I2,"F"),0)))</calculatedColumnFormula>
    </tableColumn>
    <tableColumn id="2" xr3:uid="{2F86E0EF-FF22-4411-BA34-C379F487A45F}" name="Position" dataDxfId="48"/>
    <tableColumn id="3" xr3:uid="{46B8D86C-EA46-446A-82C8-97AB60B55DE3}" name="Time" dataDxfId="47"/>
    <tableColumn id="4" xr3:uid="{DAFBF908-283F-40FE-8720-3230C60FF35B}" name="Pace" dataDxfId="46"/>
    <tableColumn id="5" xr3:uid="{8B85DEA8-19FE-4A4F-AE0D-F597BD60BF80}" name="Full Name" dataDxfId="45"/>
    <tableColumn id="6" xr3:uid="{B6CFD6E4-66FC-4193-9653-4920BA483316}" name="Category" dataDxfId="4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0538-BC4E-427C-9811-ED5E11AE662E}">
  <sheetPr>
    <tabColor rgb="FFFFFF00"/>
  </sheetPr>
  <dimension ref="B1:J55"/>
  <sheetViews>
    <sheetView showGridLines="0" workbookViewId="0">
      <selection activeCell="L14" sqref="L14"/>
    </sheetView>
  </sheetViews>
  <sheetFormatPr defaultRowHeight="15" x14ac:dyDescent="0.25"/>
  <cols>
    <col min="2" max="2" width="23.85546875" customWidth="1"/>
    <col min="3" max="5" width="7.7109375" customWidth="1"/>
    <col min="7" max="7" width="23.28515625" bestFit="1" customWidth="1"/>
    <col min="8" max="10" width="7.7109375" customWidth="1"/>
  </cols>
  <sheetData>
    <row r="1" spans="2:10" ht="15.75" thickBot="1" x14ac:dyDescent="0.3"/>
    <row r="2" spans="2:10" ht="66" customHeight="1" thickBot="1" x14ac:dyDescent="0.3">
      <c r="B2" s="12" t="s">
        <v>0</v>
      </c>
      <c r="C2" s="13" t="s">
        <v>20</v>
      </c>
      <c r="D2" s="13" t="s">
        <v>35</v>
      </c>
      <c r="E2" s="14" t="s">
        <v>34</v>
      </c>
      <c r="G2" s="12" t="s">
        <v>0</v>
      </c>
      <c r="H2" s="13" t="s">
        <v>20</v>
      </c>
      <c r="I2" s="13" t="s">
        <v>35</v>
      </c>
      <c r="J2" s="14" t="s">
        <v>34</v>
      </c>
    </row>
    <row r="3" spans="2:10" x14ac:dyDescent="0.25">
      <c r="B3" s="45" t="str">
        <f ca="1">IFERROR(VLOOKUP($C3,'Women''s League'!$A:$E,2,FALSE),"NA")</f>
        <v>SMITH, Victoria</v>
      </c>
      <c r="C3" s="43">
        <v>1</v>
      </c>
      <c r="D3" s="43">
        <f ca="1">IFERROR(VLOOKUP($C3,'Women''s League'!$A:$E,4,FALSE),"NA")</f>
        <v>18</v>
      </c>
      <c r="E3" s="44">
        <f ca="1">IFERROR(VLOOKUP($C3,'Women''s League'!$A:$E,5,FALSE),"NA")</f>
        <v>348</v>
      </c>
      <c r="G3" s="45" t="str">
        <f ca="1">IFERROR(VLOOKUP($H3,'Mens League'!$A:$E,2,FALSE),"NA")</f>
        <v>PARKER, Mark</v>
      </c>
      <c r="H3" s="43">
        <v>1</v>
      </c>
      <c r="I3" s="43">
        <f ca="1">IFERROR(VLOOKUP($H3,'Mens League'!$A:$E,4,FALSE),"NA")</f>
        <v>10</v>
      </c>
      <c r="J3" s="44">
        <f ca="1">IFERROR(VLOOKUP($H3,'Mens League'!$A:$E,5,FALSE),"NA")</f>
        <v>323</v>
      </c>
    </row>
    <row r="4" spans="2:10" x14ac:dyDescent="0.25">
      <c r="B4" s="48" t="str">
        <f ca="1">IFERROR(VLOOKUP($C4,'Women''s League'!$A:$E,2,FALSE),"NA")</f>
        <v>GRAVES, Laura</v>
      </c>
      <c r="C4" s="74">
        <v>2</v>
      </c>
      <c r="D4" s="74">
        <f ca="1">IFERROR(VLOOKUP($C4,'Women''s League'!$A:$E,4,FALSE),"NA")</f>
        <v>12</v>
      </c>
      <c r="E4" s="49">
        <f ca="1">IFERROR(VLOOKUP($C4,'Women''s League'!$A:$E,5,FALSE),"NA")</f>
        <v>301</v>
      </c>
      <c r="G4" s="48" t="str">
        <f ca="1">IFERROR(VLOOKUP($H4,'Mens League'!$A:$E,2,FALSE),"NA")</f>
        <v>SIDANI, Ramzi</v>
      </c>
      <c r="H4" s="74">
        <v>2</v>
      </c>
      <c r="I4" s="74">
        <f ca="1">IFERROR(VLOOKUP($H4,'Mens League'!$A:$E,4,FALSE),"NA")</f>
        <v>10</v>
      </c>
      <c r="J4" s="49">
        <f ca="1">IFERROR(VLOOKUP($H4,'Mens League'!$A:$E,5,FALSE),"NA")</f>
        <v>319</v>
      </c>
    </row>
    <row r="5" spans="2:10" x14ac:dyDescent="0.25">
      <c r="B5" s="50" t="str">
        <f ca="1">IFERROR(VLOOKUP($C5,'Women''s League'!$A:$E,2,FALSE),"NA")</f>
        <v>WIDEMAN, Emily</v>
      </c>
      <c r="C5" s="75">
        <v>3</v>
      </c>
      <c r="D5" s="75">
        <f ca="1">IFERROR(VLOOKUP($C5,'Women''s League'!$A:$E,4,FALSE),"NA")</f>
        <v>9</v>
      </c>
      <c r="E5" s="51">
        <f ca="1">IFERROR(VLOOKUP($C5,'Women''s League'!$A:$E,5,FALSE),"NA")</f>
        <v>295</v>
      </c>
      <c r="G5" s="50" t="str">
        <f ca="1">IFERROR(VLOOKUP($H5,'Mens League'!$A:$E,2,FALSE),"NA")</f>
        <v>PLEASS, Matt</v>
      </c>
      <c r="H5" s="75">
        <v>3</v>
      </c>
      <c r="I5" s="75">
        <f ca="1">IFERROR(VLOOKUP($H5,'Mens League'!$A:$E,4,FALSE),"NA")</f>
        <v>10</v>
      </c>
      <c r="J5" s="51">
        <f ca="1">IFERROR(VLOOKUP($H5,'Mens League'!$A:$E,5,FALSE),"NA")</f>
        <v>309</v>
      </c>
    </row>
    <row r="6" spans="2:10" x14ac:dyDescent="0.25">
      <c r="B6" s="46" t="str">
        <f ca="1">IFERROR(VLOOKUP($C6,'Women''s League'!$A:$E,2,FALSE),"NA")</f>
        <v>MONAGHAN, Amelia</v>
      </c>
      <c r="C6" s="73">
        <v>4</v>
      </c>
      <c r="D6" s="73">
        <f ca="1">IFERROR(VLOOKUP($C6,'Women''s League'!$A:$E,4,FALSE),"NA")</f>
        <v>9</v>
      </c>
      <c r="E6" s="15">
        <f ca="1">IFERROR(VLOOKUP($C6,'Women''s League'!$A:$E,5,FALSE),"NA")</f>
        <v>287</v>
      </c>
      <c r="G6" s="46" t="str">
        <f ca="1">IFERROR(VLOOKUP($H6,'Mens League'!$A:$E,2,FALSE),"NA")</f>
        <v>HORN, Patrick</v>
      </c>
      <c r="H6" s="73">
        <v>4</v>
      </c>
      <c r="I6" s="73">
        <f ca="1">IFERROR(VLOOKUP($H6,'Mens League'!$A:$E,4,FALSE),"NA")</f>
        <v>12</v>
      </c>
      <c r="J6" s="15">
        <f ca="1">IFERROR(VLOOKUP($H6,'Mens League'!$A:$E,5,FALSE),"NA")</f>
        <v>303</v>
      </c>
    </row>
    <row r="7" spans="2:10" x14ac:dyDescent="0.25">
      <c r="B7" s="46" t="str">
        <f ca="1">IFERROR(VLOOKUP($C7,'Women''s League'!$A:$E,2,FALSE),"NA")</f>
        <v>LAWLESS, Sandra</v>
      </c>
      <c r="C7" s="73">
        <v>5</v>
      </c>
      <c r="D7" s="73">
        <f ca="1">IFERROR(VLOOKUP($C7,'Women''s League'!$A:$E,4,FALSE),"NA")</f>
        <v>8</v>
      </c>
      <c r="E7" s="15">
        <f ca="1">IFERROR(VLOOKUP($C7,'Women''s League'!$A:$E,5,FALSE),"NA")</f>
        <v>228</v>
      </c>
      <c r="G7" s="46" t="str">
        <f ca="1">IFERROR(VLOOKUP($H7,'Mens League'!$A:$E,2,FALSE),"NA")</f>
        <v>BRADFORD, Mark</v>
      </c>
      <c r="H7" s="73">
        <v>5</v>
      </c>
      <c r="I7" s="73">
        <f ca="1">IFERROR(VLOOKUP($H7,'Mens League'!$A:$E,4,FALSE),"NA")</f>
        <v>14</v>
      </c>
      <c r="J7" s="15">
        <f ca="1">IFERROR(VLOOKUP($H7,'Mens League'!$A:$E,5,FALSE),"NA")</f>
        <v>293</v>
      </c>
    </row>
    <row r="8" spans="2:10" x14ac:dyDescent="0.25">
      <c r="B8" s="46" t="str">
        <f ca="1">IFERROR(VLOOKUP($C8,'Women''s League'!$A:$E,2,FALSE),"NA")</f>
        <v>MUMMERY, Ismay</v>
      </c>
      <c r="C8" s="73">
        <v>6</v>
      </c>
      <c r="D8" s="73">
        <f ca="1">IFERROR(VLOOKUP($C8,'Women''s League'!$A:$E,4,FALSE),"NA")</f>
        <v>9</v>
      </c>
      <c r="E8" s="15">
        <f ca="1">IFERROR(VLOOKUP($C8,'Women''s League'!$A:$E,5,FALSE),"NA")</f>
        <v>226</v>
      </c>
      <c r="G8" s="46" t="str">
        <f ca="1">IFERROR(VLOOKUP($H8,'Mens League'!$A:$E,2,FALSE),"NA")</f>
        <v>ALLSOP, Andrew</v>
      </c>
      <c r="H8" s="73">
        <v>6</v>
      </c>
      <c r="I8" s="73">
        <f ca="1">IFERROR(VLOOKUP($H8,'Mens League'!$A:$E,4,FALSE),"NA")</f>
        <v>14</v>
      </c>
      <c r="J8" s="15">
        <f ca="1">IFERROR(VLOOKUP($H8,'Mens League'!$A:$E,5,FALSE),"NA")</f>
        <v>283</v>
      </c>
    </row>
    <row r="9" spans="2:10" x14ac:dyDescent="0.25">
      <c r="B9" s="46" t="str">
        <f ca="1">IFERROR(VLOOKUP($C9,'Women''s League'!$A:$E,2,FALSE),"NA")</f>
        <v>PARKER, Emily</v>
      </c>
      <c r="C9" s="73">
        <v>7</v>
      </c>
      <c r="D9" s="73">
        <f ca="1">IFERROR(VLOOKUP($C9,'Women''s League'!$A:$E,4,FALSE),"NA")</f>
        <v>7</v>
      </c>
      <c r="E9" s="15">
        <f ca="1">IFERROR(VLOOKUP($C9,'Women''s League'!$A:$E,5,FALSE),"NA")</f>
        <v>222</v>
      </c>
      <c r="G9" s="46" t="str">
        <f ca="1">IFERROR(VLOOKUP($H9,'Mens League'!$A:$E,2,FALSE),"NA")</f>
        <v>GILES, George</v>
      </c>
      <c r="H9" s="73">
        <v>7</v>
      </c>
      <c r="I9" s="73">
        <f ca="1">IFERROR(VLOOKUP($H9,'Mens League'!$A:$E,4,FALSE),"NA")</f>
        <v>10</v>
      </c>
      <c r="J9" s="15">
        <f ca="1">IFERROR(VLOOKUP($H9,'Mens League'!$A:$E,5,FALSE),"NA")</f>
        <v>272</v>
      </c>
    </row>
    <row r="10" spans="2:10" x14ac:dyDescent="0.25">
      <c r="B10" s="46" t="str">
        <f ca="1">IFERROR(VLOOKUP($C10,'Women''s League'!$A:$E,2,FALSE),"NA")</f>
        <v>TURNER, Sophie</v>
      </c>
      <c r="C10" s="73">
        <v>8</v>
      </c>
      <c r="D10" s="73">
        <f ca="1">IFERROR(VLOOKUP($C10,'Women''s League'!$A:$E,4,FALSE),"NA")</f>
        <v>8</v>
      </c>
      <c r="E10" s="15">
        <f ca="1">IFERROR(VLOOKUP($C10,'Women''s League'!$A:$E,5,FALSE),"NA")</f>
        <v>212</v>
      </c>
      <c r="G10" s="46" t="str">
        <f ca="1">IFERROR(VLOOKUP($H10,'Mens League'!$A:$E,2,FALSE),"NA")</f>
        <v>BOLTON, Ian</v>
      </c>
      <c r="H10" s="73">
        <v>8</v>
      </c>
      <c r="I10" s="73">
        <f ca="1">IFERROR(VLOOKUP($H10,'Mens League'!$A:$E,4,FALSE),"NA")</f>
        <v>9</v>
      </c>
      <c r="J10" s="15">
        <f ca="1">IFERROR(VLOOKUP($H10,'Mens League'!$A:$E,5,FALSE),"NA")</f>
        <v>265</v>
      </c>
    </row>
    <row r="11" spans="2:10" x14ac:dyDescent="0.25">
      <c r="B11" s="46" t="str">
        <f ca="1">IFERROR(VLOOKUP($C11,'Women''s League'!$A:$E,2,FALSE),"NA")</f>
        <v>ASHTON, Mindy</v>
      </c>
      <c r="C11" s="73">
        <v>9</v>
      </c>
      <c r="D11" s="73">
        <f ca="1">IFERROR(VLOOKUP($C11,'Women''s League'!$A:$E,4,FALSE),"NA")</f>
        <v>7</v>
      </c>
      <c r="E11" s="15">
        <f ca="1">IFERROR(VLOOKUP($C11,'Women''s League'!$A:$E,5,FALSE),"NA")</f>
        <v>212</v>
      </c>
      <c r="G11" s="46" t="str">
        <f ca="1">IFERROR(VLOOKUP($H11,'Mens League'!$A:$E,2,FALSE),"NA")</f>
        <v>BLAND, Damon</v>
      </c>
      <c r="H11" s="73">
        <v>9</v>
      </c>
      <c r="I11" s="73">
        <f ca="1">IFERROR(VLOOKUP($H11,'Mens League'!$A:$E,4,FALSE),"NA")</f>
        <v>9</v>
      </c>
      <c r="J11" s="15">
        <f ca="1">IFERROR(VLOOKUP($H11,'Mens League'!$A:$E,5,FALSE),"NA")</f>
        <v>225</v>
      </c>
    </row>
    <row r="12" spans="2:10" x14ac:dyDescent="0.25">
      <c r="B12" s="46" t="str">
        <f ca="1">IFERROR(VLOOKUP($C12,'Women''s League'!$A:$E,2,FALSE),"NA")</f>
        <v>OSBORNE, Carolyn</v>
      </c>
      <c r="C12" s="73">
        <v>10</v>
      </c>
      <c r="D12" s="73">
        <f ca="1">IFERROR(VLOOKUP($C12,'Women''s League'!$A:$E,4,FALSE),"NA")</f>
        <v>8</v>
      </c>
      <c r="E12" s="15">
        <f ca="1">IFERROR(VLOOKUP($C12,'Women''s League'!$A:$E,5,FALSE),"NA")</f>
        <v>211</v>
      </c>
      <c r="G12" s="46" t="str">
        <f ca="1">IFERROR(VLOOKUP($H12,'Mens League'!$A:$E,2,FALSE),"NA")</f>
        <v>CODD, Paul</v>
      </c>
      <c r="H12" s="73">
        <v>10</v>
      </c>
      <c r="I12" s="73">
        <f ca="1">IFERROR(VLOOKUP($H12,'Mens League'!$A:$E,4,FALSE),"NA")</f>
        <v>8</v>
      </c>
      <c r="J12" s="15">
        <f ca="1">IFERROR(VLOOKUP($H12,'Mens League'!$A:$E,5,FALSE),"NA")</f>
        <v>217</v>
      </c>
    </row>
    <row r="13" spans="2:10" x14ac:dyDescent="0.25">
      <c r="B13" s="46" t="str">
        <f ca="1">IFERROR(VLOOKUP($C13,'Women''s League'!$A:$E,2,FALSE),"NA")</f>
        <v>BOLTON, Ellen</v>
      </c>
      <c r="C13" s="73">
        <v>11</v>
      </c>
      <c r="D13" s="73">
        <f ca="1">IFERROR(VLOOKUP($C13,'Women''s League'!$A:$E,4,FALSE),"NA")</f>
        <v>8</v>
      </c>
      <c r="E13" s="15">
        <f ca="1">IFERROR(VLOOKUP($C13,'Women''s League'!$A:$E,5,FALSE),"NA")</f>
        <v>186</v>
      </c>
      <c r="G13" s="46" t="str">
        <f ca="1">IFERROR(VLOOKUP($H13,'Mens League'!$A:$E,2,FALSE),"NA")</f>
        <v>AVERILLO, Paul</v>
      </c>
      <c r="H13" s="73">
        <v>11</v>
      </c>
      <c r="I13" s="73">
        <f ca="1">IFERROR(VLOOKUP($H13,'Mens League'!$A:$E,4,FALSE),"NA")</f>
        <v>10</v>
      </c>
      <c r="J13" s="15">
        <f ca="1">IFERROR(VLOOKUP($H13,'Mens League'!$A:$E,5,FALSE),"NA")</f>
        <v>207</v>
      </c>
    </row>
    <row r="14" spans="2:10" x14ac:dyDescent="0.25">
      <c r="B14" s="46" t="str">
        <f ca="1">IFERROR(VLOOKUP($C14,'Women''s League'!$A:$E,2,FALSE),"NA")</f>
        <v>WOOD, Clare</v>
      </c>
      <c r="C14" s="73">
        <v>12</v>
      </c>
      <c r="D14" s="73">
        <f ca="1">IFERROR(VLOOKUP($C14,'Women''s League'!$A:$E,4,FALSE),"NA")</f>
        <v>6</v>
      </c>
      <c r="E14" s="15">
        <f ca="1">IFERROR(VLOOKUP($C14,'Women''s League'!$A:$E,5,FALSE),"NA")</f>
        <v>184</v>
      </c>
      <c r="G14" s="46" t="str">
        <f ca="1">IFERROR(VLOOKUP($H14,'Mens League'!$A:$E,2,FALSE),"NA")</f>
        <v>BLADON-COPE, Daniel</v>
      </c>
      <c r="H14" s="73">
        <v>12</v>
      </c>
      <c r="I14" s="73">
        <f ca="1">IFERROR(VLOOKUP($H14,'Mens League'!$A:$E,4,FALSE),"NA")</f>
        <v>7</v>
      </c>
      <c r="J14" s="15">
        <f ca="1">IFERROR(VLOOKUP($H14,'Mens League'!$A:$E,5,FALSE),"NA")</f>
        <v>204</v>
      </c>
    </row>
    <row r="15" spans="2:10" x14ac:dyDescent="0.25">
      <c r="B15" s="46" t="str">
        <f ca="1">IFERROR(VLOOKUP($C15,'Women''s League'!$A:$E,2,FALSE),"NA")</f>
        <v>HENFREY, Julie</v>
      </c>
      <c r="C15" s="73">
        <v>13</v>
      </c>
      <c r="D15" s="73">
        <f ca="1">IFERROR(VLOOKUP($C15,'Women''s League'!$A:$E,4,FALSE),"NA")</f>
        <v>7</v>
      </c>
      <c r="E15" s="15">
        <f ca="1">IFERROR(VLOOKUP($C15,'Women''s League'!$A:$E,5,FALSE),"NA")</f>
        <v>179</v>
      </c>
      <c r="G15" s="46" t="str">
        <f ca="1">IFERROR(VLOOKUP($H15,'Mens League'!$A:$E,2,FALSE),"NA")</f>
        <v>BOTTRILL, Andrew</v>
      </c>
      <c r="H15" s="73">
        <v>13</v>
      </c>
      <c r="I15" s="73">
        <f ca="1">IFERROR(VLOOKUP($H15,'Mens League'!$A:$E,4,FALSE),"NA")</f>
        <v>8</v>
      </c>
      <c r="J15" s="15">
        <f ca="1">IFERROR(VLOOKUP($H15,'Mens League'!$A:$E,5,FALSE),"NA")</f>
        <v>201</v>
      </c>
    </row>
    <row r="16" spans="2:10" x14ac:dyDescent="0.25">
      <c r="B16" s="46" t="str">
        <f ca="1">IFERROR(VLOOKUP($C16,'Women''s League'!$A:$E,2,FALSE),"NA")</f>
        <v>BENNION, Nancy</v>
      </c>
      <c r="C16" s="73">
        <v>14</v>
      </c>
      <c r="D16" s="73">
        <f ca="1">IFERROR(VLOOKUP($C16,'Women''s League'!$A:$E,4,FALSE),"NA")</f>
        <v>7</v>
      </c>
      <c r="E16" s="15">
        <f ca="1">IFERROR(VLOOKUP($C16,'Women''s League'!$A:$E,5,FALSE),"NA")</f>
        <v>175</v>
      </c>
      <c r="G16" s="46" t="str">
        <f ca="1">IFERROR(VLOOKUP($H16,'Mens League'!$A:$E,2,FALSE),"NA")</f>
        <v>POWDRILL, Neil</v>
      </c>
      <c r="H16" s="73">
        <v>14</v>
      </c>
      <c r="I16" s="73">
        <f ca="1">IFERROR(VLOOKUP($H16,'Mens League'!$A:$E,4,FALSE),"NA")</f>
        <v>9</v>
      </c>
      <c r="J16" s="15">
        <f ca="1">IFERROR(VLOOKUP($H16,'Mens League'!$A:$E,5,FALSE),"NA")</f>
        <v>188</v>
      </c>
    </row>
    <row r="17" spans="2:10" x14ac:dyDescent="0.25">
      <c r="B17" s="46" t="str">
        <f ca="1">IFERROR(VLOOKUP($C17,'Women''s League'!$A:$E,2,FALSE),"NA")</f>
        <v>HEITMANN, Laura</v>
      </c>
      <c r="C17" s="73">
        <v>15</v>
      </c>
      <c r="D17" s="73">
        <f ca="1">IFERROR(VLOOKUP($C17,'Women''s League'!$A:$E,4,FALSE),"NA")</f>
        <v>7</v>
      </c>
      <c r="E17" s="15">
        <f ca="1">IFERROR(VLOOKUP($C17,'Women''s League'!$A:$E,5,FALSE),"NA")</f>
        <v>166</v>
      </c>
      <c r="G17" s="46" t="str">
        <f ca="1">IFERROR(VLOOKUP($H17,'Mens League'!$A:$E,2,FALSE),"NA")</f>
        <v>DUNNING, Phil</v>
      </c>
      <c r="H17" s="73">
        <v>15</v>
      </c>
      <c r="I17" s="73">
        <f ca="1">IFERROR(VLOOKUP($H17,'Mens League'!$A:$E,4,FALSE),"NA")</f>
        <v>6</v>
      </c>
      <c r="J17" s="15">
        <f ca="1">IFERROR(VLOOKUP($H17,'Mens League'!$A:$E,5,FALSE),"NA")</f>
        <v>182</v>
      </c>
    </row>
    <row r="18" spans="2:10" x14ac:dyDescent="0.25">
      <c r="B18" s="46" t="str">
        <f ca="1">IFERROR(VLOOKUP($C18,'Women''s League'!$A:$E,2,FALSE),"NA")</f>
        <v>TILBURY, Lindsay</v>
      </c>
      <c r="C18" s="73">
        <v>16</v>
      </c>
      <c r="D18" s="73">
        <f ca="1">IFERROR(VLOOKUP($C18,'Women''s League'!$A:$E,4,FALSE),"NA")</f>
        <v>5</v>
      </c>
      <c r="E18" s="15">
        <f ca="1">IFERROR(VLOOKUP($C18,'Women''s League'!$A:$E,5,FALSE),"NA")</f>
        <v>139</v>
      </c>
      <c r="G18" s="46" t="str">
        <f ca="1">IFERROR(VLOOKUP($H18,'Mens League'!$A:$E,2,FALSE),"NA")</f>
        <v>WIDEMAN, Karl</v>
      </c>
      <c r="H18" s="73">
        <v>16</v>
      </c>
      <c r="I18" s="73">
        <f ca="1">IFERROR(VLOOKUP($H18,'Mens League'!$A:$E,4,FALSE),"NA")</f>
        <v>6</v>
      </c>
      <c r="J18" s="15">
        <f ca="1">IFERROR(VLOOKUP($H18,'Mens League'!$A:$E,5,FALSE),"NA")</f>
        <v>179</v>
      </c>
    </row>
    <row r="19" spans="2:10" x14ac:dyDescent="0.25">
      <c r="B19" s="46" t="str">
        <f ca="1">IFERROR(VLOOKUP($C19,'Women''s League'!$A:$E,2,FALSE),"NA")</f>
        <v>TOWLE, Grania</v>
      </c>
      <c r="C19" s="73">
        <v>17</v>
      </c>
      <c r="D19" s="73">
        <f ca="1">IFERROR(VLOOKUP($C19,'Women''s League'!$A:$E,4,FALSE),"NA")</f>
        <v>5</v>
      </c>
      <c r="E19" s="15">
        <f ca="1">IFERROR(VLOOKUP($C19,'Women''s League'!$A:$E,5,FALSE),"NA")</f>
        <v>121</v>
      </c>
      <c r="G19" s="46" t="str">
        <f ca="1">IFERROR(VLOOKUP($H19,'Mens League'!$A:$E,2,FALSE),"NA")</f>
        <v>ATKINSON, Matt</v>
      </c>
      <c r="H19" s="73">
        <v>17</v>
      </c>
      <c r="I19" s="73">
        <f ca="1">IFERROR(VLOOKUP($H19,'Mens League'!$A:$E,4,FALSE),"NA")</f>
        <v>9</v>
      </c>
      <c r="J19" s="15">
        <f ca="1">IFERROR(VLOOKUP($H19,'Mens League'!$A:$E,5,FALSE),"NA")</f>
        <v>164</v>
      </c>
    </row>
    <row r="20" spans="2:10" x14ac:dyDescent="0.25">
      <c r="B20" s="46" t="str">
        <f ca="1">IFERROR(VLOOKUP($C20,'Women''s League'!$A:$E,2,FALSE),"NA")</f>
        <v>JEFFERY, Helen</v>
      </c>
      <c r="C20" s="73">
        <v>18</v>
      </c>
      <c r="D20" s="73">
        <f ca="1">IFERROR(VLOOKUP($C20,'Women''s League'!$A:$E,4,FALSE),"NA")</f>
        <v>4</v>
      </c>
      <c r="E20" s="15">
        <f ca="1">IFERROR(VLOOKUP($C20,'Women''s League'!$A:$E,5,FALSE),"NA")</f>
        <v>114</v>
      </c>
      <c r="G20" s="46" t="str">
        <f ca="1">IFERROR(VLOOKUP($H20,'Mens League'!$A:$E,2,FALSE),"NA")</f>
        <v>BARNES, Louis</v>
      </c>
      <c r="H20" s="73">
        <v>18</v>
      </c>
      <c r="I20" s="73">
        <f ca="1">IFERROR(VLOOKUP($H20,'Mens League'!$A:$E,4,FALSE),"NA")</f>
        <v>6</v>
      </c>
      <c r="J20" s="15">
        <f ca="1">IFERROR(VLOOKUP($H20,'Mens League'!$A:$E,5,FALSE),"NA")</f>
        <v>157</v>
      </c>
    </row>
    <row r="21" spans="2:10" x14ac:dyDescent="0.25">
      <c r="B21" s="46" t="str">
        <f ca="1">IFERROR(VLOOKUP($C21,'Women''s League'!$A:$E,2,FALSE),"NA")</f>
        <v>ALLSOP, Lucy</v>
      </c>
      <c r="C21" s="73">
        <v>19</v>
      </c>
      <c r="D21" s="73">
        <f ca="1">IFERROR(VLOOKUP($C21,'Women''s League'!$A:$E,4,FALSE),"NA")</f>
        <v>5</v>
      </c>
      <c r="E21" s="15">
        <f ca="1">IFERROR(VLOOKUP($C21,'Women''s League'!$A:$E,5,FALSE),"NA")</f>
        <v>112</v>
      </c>
      <c r="G21" s="46" t="str">
        <f ca="1">IFERROR(VLOOKUP($H21,'Mens League'!$A:$E,2,FALSE),"NA")</f>
        <v>JOYCE, Matthew</v>
      </c>
      <c r="H21" s="73">
        <v>19</v>
      </c>
      <c r="I21" s="73">
        <f ca="1">IFERROR(VLOOKUP($H21,'Mens League'!$A:$E,4,FALSE),"NA")</f>
        <v>7</v>
      </c>
      <c r="J21" s="15">
        <f ca="1">IFERROR(VLOOKUP($H21,'Mens League'!$A:$E,5,FALSE),"NA")</f>
        <v>152</v>
      </c>
    </row>
    <row r="22" spans="2:10" x14ac:dyDescent="0.25">
      <c r="B22" s="46" t="str">
        <f ca="1">IFERROR(VLOOKUP($C22,'Women''s League'!$A:$E,2,FALSE),"NA")</f>
        <v>WATKINS, Catherine</v>
      </c>
      <c r="C22" s="73">
        <v>20</v>
      </c>
      <c r="D22" s="73">
        <f ca="1">IFERROR(VLOOKUP($C22,'Women''s League'!$A:$E,4,FALSE),"NA")</f>
        <v>4</v>
      </c>
      <c r="E22" s="15">
        <f ca="1">IFERROR(VLOOKUP($C22,'Women''s League'!$A:$E,5,FALSE),"NA")</f>
        <v>110</v>
      </c>
      <c r="G22" s="46" t="str">
        <f ca="1">IFERROR(VLOOKUP($H22,'Mens League'!$A:$E,2,FALSE),"NA")</f>
        <v>WIDEMAN, Oliver</v>
      </c>
      <c r="H22" s="73">
        <v>20</v>
      </c>
      <c r="I22" s="73">
        <f ca="1">IFERROR(VLOOKUP($H22,'Mens League'!$A:$E,4,FALSE),"NA")</f>
        <v>5</v>
      </c>
      <c r="J22" s="15">
        <f ca="1">IFERROR(VLOOKUP($H22,'Mens League'!$A:$E,5,FALSE),"NA")</f>
        <v>149</v>
      </c>
    </row>
    <row r="23" spans="2:10" x14ac:dyDescent="0.25">
      <c r="B23" s="46" t="str">
        <f ca="1">IFERROR(VLOOKUP($C23,'Women''s League'!$A:$E,2,FALSE),"NA")</f>
        <v>DUNNING, Chloe</v>
      </c>
      <c r="C23" s="73">
        <v>21</v>
      </c>
      <c r="D23" s="73">
        <f ca="1">IFERROR(VLOOKUP($C23,'Women''s League'!$A:$E,4,FALSE),"NA")</f>
        <v>3</v>
      </c>
      <c r="E23" s="15">
        <f ca="1">IFERROR(VLOOKUP($C23,'Women''s League'!$A:$E,5,FALSE),"NA")</f>
        <v>94</v>
      </c>
      <c r="G23" s="46" t="str">
        <f ca="1">IFERROR(VLOOKUP($H23,'Mens League'!$A:$E,2,FALSE),"NA")</f>
        <v>HOUGH, Andy</v>
      </c>
      <c r="H23" s="73">
        <v>21</v>
      </c>
      <c r="I23" s="73">
        <f ca="1">IFERROR(VLOOKUP($H23,'Mens League'!$A:$E,4,FALSE),"NA")</f>
        <v>5</v>
      </c>
      <c r="J23" s="15">
        <f ca="1">IFERROR(VLOOKUP($H23,'Mens League'!$A:$E,5,FALSE),"NA")</f>
        <v>145</v>
      </c>
    </row>
    <row r="24" spans="2:10" ht="28.5" x14ac:dyDescent="0.25">
      <c r="B24" s="46" t="str">
        <f ca="1">IFERROR(VLOOKUP($C24,'Women''s League'!$A:$E,2,FALSE),"NA")</f>
        <v>TAIT, Susan</v>
      </c>
      <c r="C24" s="73">
        <v>22</v>
      </c>
      <c r="D24" s="73">
        <f ca="1">IFERROR(VLOOKUP($C24,'Women''s League'!$A:$E,4,FALSE),"NA")</f>
        <v>4</v>
      </c>
      <c r="E24" s="15">
        <f ca="1">IFERROR(VLOOKUP($C24,'Women''s League'!$A:$E,5,FALSE),"NA")</f>
        <v>93</v>
      </c>
      <c r="G24" s="46" t="str">
        <f ca="1">IFERROR(VLOOKUP($H24,'Mens League'!$A:$E,2,FALSE),"NA")</f>
        <v>STANLEY, Andrew</v>
      </c>
      <c r="H24" s="73">
        <v>22</v>
      </c>
      <c r="I24" s="73">
        <f ca="1">IFERROR(VLOOKUP($H24,'Mens League'!$A:$E,4,FALSE),"NA")</f>
        <v>5</v>
      </c>
      <c r="J24" s="15">
        <f ca="1">IFERROR(VLOOKUP($H24,'Mens League'!$A:$E,5,FALSE),"NA")</f>
        <v>132</v>
      </c>
    </row>
    <row r="25" spans="2:10" x14ac:dyDescent="0.25">
      <c r="B25" s="46" t="str">
        <f ca="1">IFERROR(VLOOKUP($C25,'Women''s League'!$A:$E,2,FALSE),"NA")</f>
        <v>CODD, Sarah</v>
      </c>
      <c r="C25" s="73">
        <v>23</v>
      </c>
      <c r="D25" s="73">
        <f ca="1">IFERROR(VLOOKUP($C25,'Women''s League'!$A:$E,4,FALSE),"NA")</f>
        <v>4</v>
      </c>
      <c r="E25" s="15">
        <f ca="1">IFERROR(VLOOKUP($C25,'Women''s League'!$A:$E,5,FALSE),"NA")</f>
        <v>89</v>
      </c>
      <c r="G25" s="46" t="str">
        <f ca="1">IFERROR(VLOOKUP($H25,'Mens League'!$A:$E,2,FALSE),"NA")</f>
        <v>BLADON-COPE, Jordan</v>
      </c>
      <c r="H25" s="73">
        <v>23</v>
      </c>
      <c r="I25" s="73">
        <f ca="1">IFERROR(VLOOKUP($H25,'Mens League'!$A:$E,4,FALSE),"NA")</f>
        <v>4</v>
      </c>
      <c r="J25" s="15">
        <f ca="1">IFERROR(VLOOKUP($H25,'Mens League'!$A:$E,5,FALSE),"NA")</f>
        <v>114</v>
      </c>
    </row>
    <row r="26" spans="2:10" x14ac:dyDescent="0.25">
      <c r="B26" s="46" t="str">
        <f ca="1">IFERROR(VLOOKUP($C26,'Women''s League'!$A:$E,2,FALSE),"NA")</f>
        <v>SMITH, Georgina</v>
      </c>
      <c r="C26" s="73">
        <v>24</v>
      </c>
      <c r="D26" s="73">
        <f ca="1">IFERROR(VLOOKUP($C26,'Women''s League'!$A:$E,4,FALSE),"NA")</f>
        <v>3</v>
      </c>
      <c r="E26" s="15">
        <f ca="1">IFERROR(VLOOKUP($C26,'Women''s League'!$A:$E,5,FALSE),"NA")</f>
        <v>88</v>
      </c>
      <c r="G26" s="46" t="str">
        <f ca="1">IFERROR(VLOOKUP($H26,'Mens League'!$A:$E,2,FALSE),"NA")</f>
        <v>HAMPSON, Richard</v>
      </c>
      <c r="H26" s="73">
        <v>24</v>
      </c>
      <c r="I26" s="73">
        <f ca="1">IFERROR(VLOOKUP($H26,'Mens League'!$A:$E,4,FALSE),"NA")</f>
        <v>4</v>
      </c>
      <c r="J26" s="15">
        <f ca="1">IFERROR(VLOOKUP($H26,'Mens League'!$A:$E,5,FALSE),"NA")</f>
        <v>106</v>
      </c>
    </row>
    <row r="27" spans="2:10" x14ac:dyDescent="0.25">
      <c r="B27" s="46" t="str">
        <f ca="1">IFERROR(VLOOKUP($C27,'Women''s League'!$A:$E,2,FALSE),"NA")</f>
        <v>SIDANI, Bethany</v>
      </c>
      <c r="C27" s="73">
        <v>25</v>
      </c>
      <c r="D27" s="73">
        <f ca="1">IFERROR(VLOOKUP($C27,'Women''s League'!$A:$E,4,FALSE),"NA")</f>
        <v>3</v>
      </c>
      <c r="E27" s="15">
        <f ca="1">IFERROR(VLOOKUP($C27,'Women''s League'!$A:$E,5,FALSE),"NA")</f>
        <v>85</v>
      </c>
      <c r="G27" s="46" t="str">
        <f ca="1">IFERROR(VLOOKUP($H27,'Mens League'!$A:$E,2,FALSE),"NA")</f>
        <v>BROWN, Jamie</v>
      </c>
      <c r="H27" s="73">
        <v>25</v>
      </c>
      <c r="I27" s="73">
        <f ca="1">IFERROR(VLOOKUP($H27,'Mens League'!$A:$E,4,FALSE),"NA")</f>
        <v>4</v>
      </c>
      <c r="J27" s="15">
        <f ca="1">IFERROR(VLOOKUP($H27,'Mens League'!$A:$E,5,FALSE),"NA")</f>
        <v>106</v>
      </c>
    </row>
    <row r="28" spans="2:10" x14ac:dyDescent="0.25">
      <c r="B28" s="46" t="str">
        <f ca="1">IFERROR(VLOOKUP($C28,'Women''s League'!$A:$E,2,FALSE),"NA")</f>
        <v>MALONE, Sarah</v>
      </c>
      <c r="C28" s="73">
        <v>26</v>
      </c>
      <c r="D28" s="73">
        <f ca="1">IFERROR(VLOOKUP($C28,'Women''s League'!$A:$E,4,FALSE),"NA")</f>
        <v>4</v>
      </c>
      <c r="E28" s="15">
        <f ca="1">IFERROR(VLOOKUP($C28,'Women''s League'!$A:$E,5,FALSE),"NA")</f>
        <v>82</v>
      </c>
      <c r="G28" s="46" t="str">
        <f ca="1">IFERROR(VLOOKUP($H28,'Mens League'!$A:$E,2,FALSE),"NA")</f>
        <v>MARTIN, Richard</v>
      </c>
      <c r="H28" s="73">
        <v>26</v>
      </c>
      <c r="I28" s="73">
        <f ca="1">IFERROR(VLOOKUP($H28,'Mens League'!$A:$E,4,FALSE),"NA")</f>
        <v>4</v>
      </c>
      <c r="J28" s="15">
        <f ca="1">IFERROR(VLOOKUP($H28,'Mens League'!$A:$E,5,FALSE),"NA")</f>
        <v>99</v>
      </c>
    </row>
    <row r="29" spans="2:10" x14ac:dyDescent="0.25">
      <c r="B29" s="46" t="str">
        <f ca="1">IFERROR(VLOOKUP($C29,'Women''s League'!$A:$E,2,FALSE),"NA")</f>
        <v>BETTS, Fiona</v>
      </c>
      <c r="C29" s="73">
        <v>27</v>
      </c>
      <c r="D29" s="73">
        <f ca="1">IFERROR(VLOOKUP($C29,'Women''s League'!$A:$E,4,FALSE),"NA")</f>
        <v>3</v>
      </c>
      <c r="E29" s="15">
        <f ca="1">IFERROR(VLOOKUP($C29,'Women''s League'!$A:$E,5,FALSE),"NA")</f>
        <v>80</v>
      </c>
      <c r="G29" s="46" t="str">
        <f ca="1">IFERROR(VLOOKUP($H29,'Mens League'!$A:$E,2,FALSE),"NA")</f>
        <v>POTTER, Tom</v>
      </c>
      <c r="H29" s="73">
        <v>27</v>
      </c>
      <c r="I29" s="73">
        <f ca="1">IFERROR(VLOOKUP($H29,'Mens League'!$A:$E,4,FALSE),"NA")</f>
        <v>3</v>
      </c>
      <c r="J29" s="15">
        <f ca="1">IFERROR(VLOOKUP($H29,'Mens League'!$A:$E,5,FALSE),"NA")</f>
        <v>99</v>
      </c>
    </row>
    <row r="30" spans="2:10" x14ac:dyDescent="0.25">
      <c r="B30" s="46" t="str">
        <f ca="1">IFERROR(VLOOKUP($C30,'Women''s League'!$A:$E,2,FALSE),"NA")</f>
        <v>JEYES, Sally</v>
      </c>
      <c r="C30" s="73">
        <v>28</v>
      </c>
      <c r="D30" s="73">
        <f ca="1">IFERROR(VLOOKUP($C30,'Women''s League'!$A:$E,4,FALSE),"NA")</f>
        <v>3</v>
      </c>
      <c r="E30" s="15">
        <f ca="1">IFERROR(VLOOKUP($C30,'Women''s League'!$A:$E,5,FALSE),"NA")</f>
        <v>79</v>
      </c>
      <c r="G30" s="46" t="str">
        <f ca="1">IFERROR(VLOOKUP($H30,'Mens League'!$A:$E,2,FALSE),"NA")</f>
        <v>STURLA, Tim</v>
      </c>
      <c r="H30" s="73">
        <v>28</v>
      </c>
      <c r="I30" s="73">
        <f ca="1">IFERROR(VLOOKUP($H30,'Mens League'!$A:$E,4,FALSE),"NA")</f>
        <v>5</v>
      </c>
      <c r="J30" s="15">
        <f ca="1">IFERROR(VLOOKUP($H30,'Mens League'!$A:$E,5,FALSE),"NA")</f>
        <v>98</v>
      </c>
    </row>
    <row r="31" spans="2:10" x14ac:dyDescent="0.25">
      <c r="B31" s="46" t="str">
        <f ca="1">IFERROR(VLOOKUP($C31,'Women''s League'!$A:$E,2,FALSE),"NA")</f>
        <v>SHAW, Gemma</v>
      </c>
      <c r="C31" s="73">
        <v>29</v>
      </c>
      <c r="D31" s="73">
        <f ca="1">IFERROR(VLOOKUP($C31,'Women''s League'!$A:$E,4,FALSE),"NA")</f>
        <v>3</v>
      </c>
      <c r="E31" s="15">
        <f ca="1">IFERROR(VLOOKUP($C31,'Women''s League'!$A:$E,5,FALSE),"NA")</f>
        <v>60</v>
      </c>
      <c r="G31" s="46" t="str">
        <f ca="1">IFERROR(VLOOKUP($H31,'Mens League'!$A:$E,2,FALSE),"NA")</f>
        <v>YEOMANS, Martin</v>
      </c>
      <c r="H31" s="73">
        <v>29</v>
      </c>
      <c r="I31" s="73">
        <f ca="1">IFERROR(VLOOKUP($H31,'Mens League'!$A:$E,4,FALSE),"NA")</f>
        <v>6</v>
      </c>
      <c r="J31" s="15">
        <f ca="1">IFERROR(VLOOKUP($H31,'Mens League'!$A:$E,5,FALSE),"NA")</f>
        <v>98</v>
      </c>
    </row>
    <row r="32" spans="2:10" x14ac:dyDescent="0.25">
      <c r="B32" s="46" t="str">
        <f ca="1">IFERROR(VLOOKUP($C32,'Women''s League'!$A:$E,2,FALSE),"NA")</f>
        <v>WHITWORTH, Paula</v>
      </c>
      <c r="C32" s="73">
        <v>30</v>
      </c>
      <c r="D32" s="73">
        <f ca="1">IFERROR(VLOOKUP($C32,'Women''s League'!$A:$E,4,FALSE),"NA")</f>
        <v>2</v>
      </c>
      <c r="E32" s="15">
        <f ca="1">IFERROR(VLOOKUP($C32,'Women''s League'!$A:$E,5,FALSE),"NA")</f>
        <v>56</v>
      </c>
      <c r="G32" s="46" t="str">
        <f ca="1">IFERROR(VLOOKUP($H32,'Mens League'!$A:$E,2,FALSE),"NA")</f>
        <v>OSBORNE, Chris</v>
      </c>
      <c r="H32" s="73">
        <v>30</v>
      </c>
      <c r="I32" s="73">
        <f ca="1">IFERROR(VLOOKUP($H32,'Mens League'!$A:$E,4,FALSE),"NA")</f>
        <v>4</v>
      </c>
      <c r="J32" s="15">
        <f ca="1">IFERROR(VLOOKUP($H32,'Mens League'!$A:$E,5,FALSE),"NA")</f>
        <v>90</v>
      </c>
    </row>
    <row r="33" spans="2:10" x14ac:dyDescent="0.25">
      <c r="B33" s="46" t="str">
        <f ca="1">IFERROR(VLOOKUP($C33,'Women''s League'!$A:$E,2,FALSE),"NA")</f>
        <v>LEWIS, Sarah</v>
      </c>
      <c r="C33" s="73">
        <v>31</v>
      </c>
      <c r="D33" s="73">
        <f ca="1">IFERROR(VLOOKUP($C33,'Women''s League'!$A:$E,4,FALSE),"NA")</f>
        <v>2</v>
      </c>
      <c r="E33" s="15">
        <f ca="1">IFERROR(VLOOKUP($C33,'Women''s League'!$A:$E,5,FALSE),"NA")</f>
        <v>55</v>
      </c>
      <c r="G33" s="46" t="str">
        <f ca="1">IFERROR(VLOOKUP($H33,'Mens League'!$A:$E,2,FALSE),"NA")</f>
        <v>BALL, Tom</v>
      </c>
      <c r="H33" s="73">
        <v>31</v>
      </c>
      <c r="I33" s="73">
        <f ca="1">IFERROR(VLOOKUP($H33,'Mens League'!$A:$E,4,FALSE),"NA")</f>
        <v>4</v>
      </c>
      <c r="J33" s="15">
        <f ca="1">IFERROR(VLOOKUP($H33,'Mens League'!$A:$E,5,FALSE),"NA")</f>
        <v>87</v>
      </c>
    </row>
    <row r="34" spans="2:10" x14ac:dyDescent="0.25">
      <c r="B34" s="46" t="str">
        <f ca="1">IFERROR(VLOOKUP($C34,'Women''s League'!$A:$E,2,FALSE),"NA")</f>
        <v>BULL, Sarah</v>
      </c>
      <c r="C34" s="73">
        <v>32</v>
      </c>
      <c r="D34" s="73">
        <f ca="1">IFERROR(VLOOKUP($C34,'Women''s League'!$A:$E,4,FALSE),"NA")</f>
        <v>2</v>
      </c>
      <c r="E34" s="15">
        <f ca="1">IFERROR(VLOOKUP($C34,'Women''s League'!$A:$E,5,FALSE),"NA")</f>
        <v>52</v>
      </c>
      <c r="G34" s="46" t="str">
        <f ca="1">IFERROR(VLOOKUP($H34,'Mens League'!$A:$E,2,FALSE),"NA")</f>
        <v>CHAMBERS, Alistair</v>
      </c>
      <c r="H34" s="73">
        <v>32</v>
      </c>
      <c r="I34" s="73">
        <f ca="1">IFERROR(VLOOKUP($H34,'Mens League'!$A:$E,4,FALSE),"NA")</f>
        <v>3</v>
      </c>
      <c r="J34" s="15">
        <f ca="1">IFERROR(VLOOKUP($H34,'Mens League'!$A:$E,5,FALSE),"NA")</f>
        <v>78</v>
      </c>
    </row>
    <row r="35" spans="2:10" ht="15" customHeight="1" x14ac:dyDescent="0.25">
      <c r="B35" s="46" t="str">
        <f ca="1">IFERROR(VLOOKUP($C35,'Women''s League'!$A:$E,2,FALSE),"NA")</f>
        <v>ARCHER, Abby</v>
      </c>
      <c r="C35" s="73">
        <v>33</v>
      </c>
      <c r="D35" s="73">
        <f ca="1">IFERROR(VLOOKUP($C35,'Women''s League'!$A:$E,4,FALSE),"NA")</f>
        <v>2</v>
      </c>
      <c r="E35" s="15">
        <f ca="1">IFERROR(VLOOKUP($C35,'Women''s League'!$A:$E,5,FALSE),"NA")</f>
        <v>51</v>
      </c>
      <c r="G35" s="46" t="str">
        <f ca="1">IFERROR(VLOOKUP($H35,'Mens League'!$A:$E,2,FALSE),"NA")</f>
        <v>FLANAGAN, Mark</v>
      </c>
      <c r="H35" s="73">
        <v>33</v>
      </c>
      <c r="I35" s="73">
        <f ca="1">IFERROR(VLOOKUP($H35,'Mens League'!$A:$E,4,FALSE),"NA")</f>
        <v>4</v>
      </c>
      <c r="J35" s="15">
        <f ca="1">IFERROR(VLOOKUP($H35,'Mens League'!$A:$E,5,FALSE),"NA")</f>
        <v>76</v>
      </c>
    </row>
    <row r="36" spans="2:10" ht="15" customHeight="1" x14ac:dyDescent="0.25">
      <c r="B36" s="46" t="str">
        <f ca="1">IFERROR(VLOOKUP($C36,'Women''s League'!$A:$E,2,FALSE),"NA")</f>
        <v>SINGLETON, Jill</v>
      </c>
      <c r="C36" s="73">
        <v>34</v>
      </c>
      <c r="D36" s="73">
        <f ca="1">IFERROR(VLOOKUP($C36,'Women''s League'!$A:$E,4,FALSE),"NA")</f>
        <v>3</v>
      </c>
      <c r="E36" s="15">
        <f ca="1">IFERROR(VLOOKUP($C36,'Women''s League'!$A:$E,5,FALSE),"NA")</f>
        <v>48</v>
      </c>
      <c r="G36" s="46" t="str">
        <f ca="1">IFERROR(VLOOKUP($H36,'Mens League'!$A:$E,2,FALSE),"NA")</f>
        <v>FOWLER, Adrian</v>
      </c>
      <c r="H36" s="73">
        <v>34</v>
      </c>
      <c r="I36" s="73">
        <f ca="1">IFERROR(VLOOKUP($H36,'Mens League'!$A:$E,4,FALSE),"NA")</f>
        <v>3</v>
      </c>
      <c r="J36" s="15">
        <f ca="1">IFERROR(VLOOKUP($H36,'Mens League'!$A:$E,5,FALSE),"NA")</f>
        <v>75</v>
      </c>
    </row>
    <row r="37" spans="2:10" ht="15" customHeight="1" x14ac:dyDescent="0.25">
      <c r="B37" s="46" t="str">
        <f ca="1">IFERROR(VLOOKUP($C37,'Women''s League'!$A:$E,2,FALSE),"NA")</f>
        <v>TRICKETT, Andrea</v>
      </c>
      <c r="C37" s="73">
        <v>35</v>
      </c>
      <c r="D37" s="73">
        <f ca="1">IFERROR(VLOOKUP($C37,'Women''s League'!$A:$E,4,FALSE),"NA")</f>
        <v>2</v>
      </c>
      <c r="E37" s="15">
        <f ca="1">IFERROR(VLOOKUP($C37,'Women''s League'!$A:$E,5,FALSE),"NA")</f>
        <v>46</v>
      </c>
      <c r="G37" s="46" t="str">
        <f ca="1">IFERROR(VLOOKUP($H37,'Mens League'!$A:$E,2,FALSE),"NA")</f>
        <v>CAIN, James</v>
      </c>
      <c r="H37" s="73">
        <v>35</v>
      </c>
      <c r="I37" s="73">
        <f ca="1">IFERROR(VLOOKUP($H37,'Mens League'!$A:$E,4,FALSE),"NA")</f>
        <v>4</v>
      </c>
      <c r="J37" s="15">
        <f ca="1">IFERROR(VLOOKUP($H37,'Mens League'!$A:$E,5,FALSE),"NA")</f>
        <v>75</v>
      </c>
    </row>
    <row r="38" spans="2:10" x14ac:dyDescent="0.25">
      <c r="B38" s="46" t="str">
        <f ca="1">IFERROR(VLOOKUP($C38,'Women''s League'!$A:$E,2,FALSE),"NA")</f>
        <v>DYTHAM, Michelle</v>
      </c>
      <c r="C38" s="73">
        <v>36</v>
      </c>
      <c r="D38" s="73">
        <f ca="1">IFERROR(VLOOKUP($C38,'Women''s League'!$A:$E,4,FALSE),"NA")</f>
        <v>2</v>
      </c>
      <c r="E38" s="15">
        <f ca="1">IFERROR(VLOOKUP($C38,'Women''s League'!$A:$E,5,FALSE),"NA")</f>
        <v>45</v>
      </c>
      <c r="G38" s="46" t="str">
        <f ca="1">IFERROR(VLOOKUP($H38,'Mens League'!$A:$E,2,FALSE),"NA")</f>
        <v>HILL, Simon</v>
      </c>
      <c r="H38" s="73">
        <v>36</v>
      </c>
      <c r="I38" s="73">
        <f ca="1">IFERROR(VLOOKUP($H38,'Mens League'!$A:$E,4,FALSE),"NA")</f>
        <v>3</v>
      </c>
      <c r="J38" s="15">
        <f ca="1">IFERROR(VLOOKUP($H38,'Mens League'!$A:$E,5,FALSE),"NA")</f>
        <v>68</v>
      </c>
    </row>
    <row r="39" spans="2:10" ht="15.75" customHeight="1" x14ac:dyDescent="0.25">
      <c r="B39" s="46" t="str">
        <f ca="1">IFERROR(VLOOKUP($C39,'Women''s League'!$A:$E,2,FALSE),"NA")</f>
        <v>BOOTE, Francesca</v>
      </c>
      <c r="C39" s="73">
        <v>37</v>
      </c>
      <c r="D39" s="73">
        <f ca="1">IFERROR(VLOOKUP($C39,'Women''s League'!$A:$E,4,FALSE),"NA")</f>
        <v>1</v>
      </c>
      <c r="E39" s="15">
        <f ca="1">IFERROR(VLOOKUP($C39,'Women''s League'!$A:$E,5,FALSE),"NA")</f>
        <v>33</v>
      </c>
      <c r="G39" s="46" t="str">
        <f ca="1">IFERROR(VLOOKUP($H39,'Mens League'!$A:$E,2,FALSE),"NA")</f>
        <v>BARON, Keith</v>
      </c>
      <c r="H39" s="73">
        <v>37</v>
      </c>
      <c r="I39" s="73">
        <f ca="1">IFERROR(VLOOKUP($H39,'Mens League'!$A:$E,4,FALSE),"NA")</f>
        <v>3</v>
      </c>
      <c r="J39" s="15">
        <f ca="1">IFERROR(VLOOKUP($H39,'Mens League'!$A:$E,5,FALSE),"NA")</f>
        <v>65</v>
      </c>
    </row>
    <row r="40" spans="2:10" ht="15.75" customHeight="1" x14ac:dyDescent="0.25">
      <c r="B40" s="46" t="str">
        <f ca="1">IFERROR(VLOOKUP($C40,'Women''s League'!$A:$E,2,FALSE),"NA")</f>
        <v>HOPE, Jenny</v>
      </c>
      <c r="C40" s="73">
        <v>38</v>
      </c>
      <c r="D40" s="73">
        <f ca="1">IFERROR(VLOOKUP($C40,'Women''s League'!$A:$E,4,FALSE),"NA")</f>
        <v>2</v>
      </c>
      <c r="E40" s="15">
        <f ca="1">IFERROR(VLOOKUP($C40,'Women''s League'!$A:$E,5,FALSE),"NA")</f>
        <v>32</v>
      </c>
      <c r="G40" s="46" t="str">
        <f ca="1">IFERROR(VLOOKUP($H40,'Mens League'!$A:$E,2,FALSE),"NA")</f>
        <v>BADEN, Rob</v>
      </c>
      <c r="H40" s="73">
        <v>38</v>
      </c>
      <c r="I40" s="73">
        <f ca="1">IFERROR(VLOOKUP($H40,'Mens League'!$A:$E,4,FALSE),"NA")</f>
        <v>2</v>
      </c>
      <c r="J40" s="15">
        <f ca="1">IFERROR(VLOOKUP($H40,'Mens League'!$A:$E,5,FALSE),"NA")</f>
        <v>60</v>
      </c>
    </row>
    <row r="41" spans="2:10" ht="15.75" customHeight="1" x14ac:dyDescent="0.25">
      <c r="B41" s="46" t="str">
        <f ca="1">IFERROR(VLOOKUP($C41,'Women''s League'!$A:$E,2,FALSE),"NA")</f>
        <v>TAYLOR, Julie</v>
      </c>
      <c r="C41" s="73">
        <v>39</v>
      </c>
      <c r="D41" s="73">
        <f ca="1">IFERROR(VLOOKUP($C41,'Women''s League'!$A:$E,4,FALSE),"NA")</f>
        <v>1</v>
      </c>
      <c r="E41" s="15">
        <f ca="1">IFERROR(VLOOKUP($C41,'Women''s League'!$A:$E,5,FALSE),"NA")</f>
        <v>32</v>
      </c>
      <c r="G41" s="46" t="str">
        <f ca="1">IFERROR(VLOOKUP($H41,'Mens League'!$A:$E,2,FALSE),"NA")</f>
        <v>COX, James</v>
      </c>
      <c r="H41" s="73">
        <v>39</v>
      </c>
      <c r="I41" s="73">
        <f ca="1">IFERROR(VLOOKUP($H41,'Mens League'!$A:$E,4,FALSE),"NA")</f>
        <v>2</v>
      </c>
      <c r="J41" s="15">
        <f ca="1">IFERROR(VLOOKUP($H41,'Mens League'!$A:$E,5,FALSE),"NA")</f>
        <v>58</v>
      </c>
    </row>
    <row r="42" spans="2:10" ht="15.75" customHeight="1" x14ac:dyDescent="0.25">
      <c r="B42" s="46" t="str">
        <f ca="1">IFERROR(VLOOKUP($C42,'Women''s League'!$A:$E,2,FALSE),"NA")</f>
        <v>TAYLOR, Charlene</v>
      </c>
      <c r="C42" s="73">
        <v>40</v>
      </c>
      <c r="D42" s="73">
        <f ca="1">IFERROR(VLOOKUP($C42,'Women''s League'!$A:$E,4,FALSE),"NA")</f>
        <v>1</v>
      </c>
      <c r="E42" s="15">
        <f ca="1">IFERROR(VLOOKUP($C42,'Women''s League'!$A:$E,5,FALSE),"NA")</f>
        <v>32</v>
      </c>
      <c r="G42" s="46" t="str">
        <f ca="1">IFERROR(VLOOKUP($H42,'Mens League'!$A:$E,2,FALSE),"NA")</f>
        <v>OGILVIE, James</v>
      </c>
      <c r="H42" s="73">
        <v>40</v>
      </c>
      <c r="I42" s="73">
        <f ca="1">IFERROR(VLOOKUP($H42,'Mens League'!$A:$E,4,FALSE),"NA")</f>
        <v>2</v>
      </c>
      <c r="J42" s="15">
        <f ca="1">IFERROR(VLOOKUP($H42,'Mens League'!$A:$E,5,FALSE),"NA")</f>
        <v>57</v>
      </c>
    </row>
    <row r="43" spans="2:10" ht="15.75" customHeight="1" x14ac:dyDescent="0.25">
      <c r="B43" s="46" t="str">
        <f ca="1">IFERROR(VLOOKUP($C43,'Women''s League'!$A:$E,2,FALSE),"NA")</f>
        <v>COTON, Sophie</v>
      </c>
      <c r="C43" s="73">
        <v>41</v>
      </c>
      <c r="D43" s="73">
        <f ca="1">IFERROR(VLOOKUP($C43,'Women''s League'!$A:$E,4,FALSE),"NA")</f>
        <v>1</v>
      </c>
      <c r="E43" s="15">
        <f ca="1">IFERROR(VLOOKUP($C43,'Women''s League'!$A:$E,5,FALSE),"NA")</f>
        <v>31</v>
      </c>
      <c r="G43" s="46" t="str">
        <f ca="1">IFERROR(VLOOKUP($H43,'Mens League'!$A:$E,2,FALSE),"NA")</f>
        <v>JEYES, Andrew</v>
      </c>
      <c r="H43" s="73">
        <v>41</v>
      </c>
      <c r="I43" s="73">
        <f ca="1">IFERROR(VLOOKUP($H43,'Mens League'!$A:$E,4,FALSE),"NA")</f>
        <v>2</v>
      </c>
      <c r="J43" s="15">
        <f ca="1">IFERROR(VLOOKUP($H43,'Mens League'!$A:$E,5,FALSE),"NA")</f>
        <v>54</v>
      </c>
    </row>
    <row r="44" spans="2:10" ht="15.75" customHeight="1" x14ac:dyDescent="0.25">
      <c r="B44" s="46" t="str">
        <f ca="1">IFERROR(VLOOKUP($C44,'Women''s League'!$A:$E,2,FALSE),"NA")</f>
        <v>FINN, Helen</v>
      </c>
      <c r="C44" s="73">
        <v>42</v>
      </c>
      <c r="D44" s="73">
        <f ca="1">IFERROR(VLOOKUP($C44,'Women''s League'!$A:$E,4,FALSE),"NA")</f>
        <v>2</v>
      </c>
      <c r="E44" s="15">
        <f ca="1">IFERROR(VLOOKUP($C44,'Women''s League'!$A:$E,5,FALSE),"NA")</f>
        <v>30</v>
      </c>
      <c r="G44" s="46" t="str">
        <f ca="1">IFERROR(VLOOKUP($H44,'Mens League'!$A:$E,2,FALSE),"NA")</f>
        <v>GOLDINGAY, Harry</v>
      </c>
      <c r="H44" s="73">
        <v>42</v>
      </c>
      <c r="I44" s="73">
        <f ca="1">IFERROR(VLOOKUP($H44,'Mens League'!$A:$E,4,FALSE),"NA")</f>
        <v>3</v>
      </c>
      <c r="J44" s="15">
        <f ca="1">IFERROR(VLOOKUP($H44,'Mens League'!$A:$E,5,FALSE),"NA")</f>
        <v>52</v>
      </c>
    </row>
    <row r="45" spans="2:10" ht="15.75" customHeight="1" x14ac:dyDescent="0.25">
      <c r="B45" s="46" t="str">
        <f ca="1">IFERROR(VLOOKUP($C45,'Women''s League'!$A:$E,2,FALSE),"NA")</f>
        <v>MCDERMOTT, Lucy</v>
      </c>
      <c r="C45" s="73">
        <v>43</v>
      </c>
      <c r="D45" s="73">
        <f ca="1">IFERROR(VLOOKUP($C45,'Women''s League'!$A:$E,4,FALSE),"NA")</f>
        <v>1</v>
      </c>
      <c r="E45" s="15">
        <f ca="1">IFERROR(VLOOKUP($C45,'Women''s League'!$A:$E,5,FALSE),"NA")</f>
        <v>30</v>
      </c>
      <c r="G45" s="46" t="str">
        <f ca="1">IFERROR(VLOOKUP($H45,'Mens League'!$A:$E,2,FALSE),"NA")</f>
        <v>ROWLES, Nick</v>
      </c>
      <c r="H45" s="73">
        <v>43</v>
      </c>
      <c r="I45" s="73">
        <f ca="1">IFERROR(VLOOKUP($H45,'Mens League'!$A:$E,4,FALSE),"NA")</f>
        <v>2</v>
      </c>
      <c r="J45" s="15">
        <f ca="1">IFERROR(VLOOKUP($H45,'Mens League'!$A:$E,5,FALSE),"NA")</f>
        <v>44</v>
      </c>
    </row>
    <row r="46" spans="2:10" x14ac:dyDescent="0.25">
      <c r="B46" s="46" t="str">
        <f ca="1">IFERROR(VLOOKUP($C46,'Women''s League'!$A:$E,2,FALSE),"NA")</f>
        <v>PARISH, Suzanne</v>
      </c>
      <c r="C46" s="73">
        <v>44</v>
      </c>
      <c r="D46" s="73">
        <f ca="1">IFERROR(VLOOKUP($C46,'Women''s League'!$A:$E,4,FALSE),"NA")</f>
        <v>1</v>
      </c>
      <c r="E46" s="15">
        <f ca="1">IFERROR(VLOOKUP($C46,'Women''s League'!$A:$E,5,FALSE),"NA")</f>
        <v>29</v>
      </c>
      <c r="G46" s="46" t="str">
        <f ca="1">IFERROR(VLOOKUP($H46,'Mens League'!$A:$E,2,FALSE),"NA")</f>
        <v>COLE, Andy</v>
      </c>
      <c r="H46" s="73">
        <v>44</v>
      </c>
      <c r="I46" s="73">
        <f ca="1">IFERROR(VLOOKUP($H46,'Mens League'!$A:$E,4,FALSE),"NA")</f>
        <v>2</v>
      </c>
      <c r="J46" s="15">
        <f ca="1">IFERROR(VLOOKUP($H46,'Mens League'!$A:$E,5,FALSE),"NA")</f>
        <v>42</v>
      </c>
    </row>
    <row r="47" spans="2:10" x14ac:dyDescent="0.25">
      <c r="B47" s="46" t="str">
        <f ca="1">IFERROR(VLOOKUP($C47,'Women''s League'!$A:$E,2,FALSE),"NA")</f>
        <v>BLAND, Jane</v>
      </c>
      <c r="C47" s="73">
        <v>45</v>
      </c>
      <c r="D47" s="73">
        <f ca="1">IFERROR(VLOOKUP($C47,'Women''s League'!$A:$E,4,FALSE),"NA")</f>
        <v>2</v>
      </c>
      <c r="E47" s="15">
        <f ca="1">IFERROR(VLOOKUP($C47,'Women''s League'!$A:$E,5,FALSE),"NA")</f>
        <v>28</v>
      </c>
      <c r="G47" s="46" t="str">
        <f ca="1">IFERROR(VLOOKUP($H47,'Mens League'!$A:$E,2,FALSE),"NA")</f>
        <v>KIRK, Ian</v>
      </c>
      <c r="H47" s="73">
        <v>45</v>
      </c>
      <c r="I47" s="73">
        <f ca="1">IFERROR(VLOOKUP($H47,'Mens League'!$A:$E,4,FALSE),"NA")</f>
        <v>2</v>
      </c>
      <c r="J47" s="15">
        <f ca="1">IFERROR(VLOOKUP($H47,'Mens League'!$A:$E,5,FALSE),"NA")</f>
        <v>41</v>
      </c>
    </row>
    <row r="48" spans="2:10" x14ac:dyDescent="0.25">
      <c r="B48" s="46" t="str">
        <f ca="1">IFERROR(VLOOKUP($C48,'Women''s League'!$A:$E,2,FALSE),"NA")</f>
        <v>ENION, Ruth</v>
      </c>
      <c r="C48" s="73">
        <v>46</v>
      </c>
      <c r="D48" s="73">
        <f ca="1">IFERROR(VLOOKUP($C48,'Women''s League'!$A:$E,4,FALSE),"NA")</f>
        <v>1</v>
      </c>
      <c r="E48" s="15">
        <f ca="1">IFERROR(VLOOKUP($C48,'Women''s League'!$A:$E,5,FALSE),"NA")</f>
        <v>27</v>
      </c>
      <c r="G48" s="46" t="str">
        <f ca="1">IFERROR(VLOOKUP($H48,'Mens League'!$A:$E,2,FALSE),"NA")</f>
        <v>WOOD, Craig</v>
      </c>
      <c r="H48" s="73">
        <v>46</v>
      </c>
      <c r="I48" s="73">
        <f ca="1">IFERROR(VLOOKUP($H48,'Mens League'!$A:$E,4,FALSE),"NA")</f>
        <v>2</v>
      </c>
      <c r="J48" s="15">
        <f ca="1">IFERROR(VLOOKUP($H48,'Mens League'!$A:$E,5,FALSE),"NA")</f>
        <v>38</v>
      </c>
    </row>
    <row r="49" spans="2:10" x14ac:dyDescent="0.25">
      <c r="B49" s="46" t="str">
        <f ca="1">IFERROR(VLOOKUP($C49,'Women''s League'!$A:$E,2,FALSE),"NA")</f>
        <v>GILLON, Alex</v>
      </c>
      <c r="C49" s="73">
        <v>47</v>
      </c>
      <c r="D49" s="73">
        <f ca="1">IFERROR(VLOOKUP($C49,'Women''s League'!$A:$E,4,FALSE),"NA")</f>
        <v>1</v>
      </c>
      <c r="E49" s="15">
        <f ca="1">IFERROR(VLOOKUP($C49,'Women''s League'!$A:$E,5,FALSE),"NA")</f>
        <v>25</v>
      </c>
      <c r="G49" s="46" t="str">
        <f ca="1">IFERROR(VLOOKUP($H49,'Mens League'!$A:$E,2,FALSE),"NA")</f>
        <v>BARON, Tom</v>
      </c>
      <c r="H49" s="73">
        <v>47</v>
      </c>
      <c r="I49" s="73">
        <f ca="1">IFERROR(VLOOKUP($H49,'Mens League'!$A:$E,4,FALSE),"NA")</f>
        <v>2</v>
      </c>
      <c r="J49" s="15">
        <f ca="1">IFERROR(VLOOKUP($H49,'Mens League'!$A:$E,5,FALSE),"NA")</f>
        <v>38</v>
      </c>
    </row>
    <row r="50" spans="2:10" x14ac:dyDescent="0.25">
      <c r="B50" s="46" t="str">
        <f ca="1">IFERROR(VLOOKUP($C50,'Women''s League'!$A:$E,2,FALSE),"NA")</f>
        <v>MEADOWS, Tor</v>
      </c>
      <c r="C50" s="73">
        <v>48</v>
      </c>
      <c r="D50" s="73">
        <f ca="1">IFERROR(VLOOKUP($C50,'Women''s League'!$A:$E,4,FALSE),"NA")</f>
        <v>1</v>
      </c>
      <c r="E50" s="15">
        <f ca="1">IFERROR(VLOOKUP($C50,'Women''s League'!$A:$E,5,FALSE),"NA")</f>
        <v>10</v>
      </c>
      <c r="G50" s="46" t="str">
        <f ca="1">IFERROR(VLOOKUP($H50,'Mens League'!$A:$E,2,FALSE),"NA")</f>
        <v>CROSS, Jeff</v>
      </c>
      <c r="H50" s="73">
        <v>48</v>
      </c>
      <c r="I50" s="73">
        <f ca="1">IFERROR(VLOOKUP($H50,'Mens League'!$A:$E,4,FALSE),"NA")</f>
        <v>2</v>
      </c>
      <c r="J50" s="15">
        <f ca="1">IFERROR(VLOOKUP($H50,'Mens League'!$A:$E,5,FALSE),"NA")</f>
        <v>36</v>
      </c>
    </row>
    <row r="51" spans="2:10" ht="15.75" thickBot="1" x14ac:dyDescent="0.3">
      <c r="B51" s="47" t="str">
        <f ca="1">IFERROR(VLOOKUP($C51,'Women''s League'!$A:$E,2,FALSE),"NA")</f>
        <v>NA</v>
      </c>
      <c r="C51" s="16">
        <v>49</v>
      </c>
      <c r="D51" s="16" t="str">
        <f ca="1">IFERROR(VLOOKUP($C51,'Women''s League'!$A:$E,4,FALSE),"NA")</f>
        <v>NA</v>
      </c>
      <c r="E51" s="17" t="str">
        <f ca="1">IFERROR(VLOOKUP($C51,'Women''s League'!$A:$E,5,FALSE),"NA")</f>
        <v>NA</v>
      </c>
      <c r="G51" s="46" t="str">
        <f ca="1">IFERROR(VLOOKUP($H51,'Mens League'!$A:$E,2,FALSE),"NA")</f>
        <v>OGDEN, Dan</v>
      </c>
      <c r="H51" s="73">
        <v>49</v>
      </c>
      <c r="I51" s="73">
        <f ca="1">IFERROR(VLOOKUP($H51,'Mens League'!$A:$E,4,FALSE),"NA")</f>
        <v>2</v>
      </c>
      <c r="J51" s="15">
        <f ca="1">IFERROR(VLOOKUP($H51,'Mens League'!$A:$E,5,FALSE),"NA")</f>
        <v>35</v>
      </c>
    </row>
    <row r="52" spans="2:10" x14ac:dyDescent="0.25">
      <c r="G52" s="46" t="str">
        <f ca="1">IFERROR(VLOOKUP($H52,'Mens League'!$A:$E,2,FALSE),"NA")</f>
        <v>WESTERN, Roger</v>
      </c>
      <c r="H52" s="73">
        <v>50</v>
      </c>
      <c r="I52" s="73">
        <f ca="1">IFERROR(VLOOKUP($H52,'Mens League'!$A:$E,4,FALSE),"NA")</f>
        <v>2</v>
      </c>
      <c r="J52" s="15">
        <f ca="1">IFERROR(VLOOKUP($H52,'Mens League'!$A:$E,5,FALSE),"NA")</f>
        <v>33</v>
      </c>
    </row>
    <row r="53" spans="2:10" x14ac:dyDescent="0.25">
      <c r="G53" s="46" t="str">
        <f ca="1">IFERROR(VLOOKUP($H53,'Mens League'!$A:$E,2,FALSE),"NA")</f>
        <v>WOODS, Paul</v>
      </c>
      <c r="H53" s="73">
        <v>51</v>
      </c>
      <c r="I53" s="73">
        <f ca="1">IFERROR(VLOOKUP($H53,'Mens League'!$A:$E,4,FALSE),"NA")</f>
        <v>1</v>
      </c>
      <c r="J53" s="15">
        <f ca="1">IFERROR(VLOOKUP($H53,'Mens League'!$A:$E,5,FALSE),"NA")</f>
        <v>32</v>
      </c>
    </row>
    <row r="54" spans="2:10" x14ac:dyDescent="0.25">
      <c r="G54" s="46" t="str">
        <f ca="1">IFERROR(VLOOKUP($H54,'Mens League'!$A:$E,2,FALSE),"NA")</f>
        <v>EATON, Rob</v>
      </c>
      <c r="H54" s="73">
        <v>52</v>
      </c>
      <c r="I54" s="73">
        <f ca="1">IFERROR(VLOOKUP($H54,'Mens League'!$A:$E,4,FALSE),"NA")</f>
        <v>1</v>
      </c>
      <c r="J54" s="15">
        <f ca="1">IFERROR(VLOOKUP($H54,'Mens League'!$A:$E,5,FALSE),"NA")</f>
        <v>31</v>
      </c>
    </row>
    <row r="55" spans="2:10" ht="29.25" thickBot="1" x14ac:dyDescent="0.3">
      <c r="G55" s="47" t="str">
        <f ca="1">IFERROR(VLOOKUP($H55,'Mens League'!$A:$E,2,FALSE),"NA")</f>
        <v>BROCKLEHURST, Matt</v>
      </c>
      <c r="H55" s="16">
        <v>53</v>
      </c>
      <c r="I55" s="16">
        <f ca="1">IFERROR(VLOOKUP($H55,'Mens League'!$A:$E,4,FALSE),"NA")</f>
        <v>1</v>
      </c>
      <c r="J55" s="17">
        <f ca="1">IFERROR(VLOOKUP($H55,'Mens League'!$A:$E,5,FALSE),"NA")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0390-42D3-4FFD-A60C-8A5E733C99B8}">
  <dimension ref="A1:AB63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6" sqref="F6"/>
    </sheetView>
  </sheetViews>
  <sheetFormatPr defaultColWidth="9.140625" defaultRowHeight="15" x14ac:dyDescent="0.25"/>
  <cols>
    <col min="1" max="1" width="9.140625" style="1"/>
    <col min="2" max="2" width="29" style="1" customWidth="1"/>
    <col min="3" max="3" width="9.7109375" style="1" customWidth="1"/>
    <col min="4" max="5" width="9.5703125" style="1" customWidth="1"/>
    <col min="6" max="6" width="9.140625" style="6" customWidth="1"/>
    <col min="7" max="7" width="9.85546875" style="1" bestFit="1" customWidth="1"/>
    <col min="8" max="18" width="9.140625" style="1"/>
    <col min="19" max="24" width="9.140625" style="6"/>
    <col min="25" max="16384" width="9.140625" style="1"/>
  </cols>
  <sheetData>
    <row r="1" spans="1:28" x14ac:dyDescent="0.25">
      <c r="F1" s="11"/>
    </row>
    <row r="2" spans="1:28" ht="84.75" customHeight="1" x14ac:dyDescent="0.25">
      <c r="B2" s="32" t="s">
        <v>0</v>
      </c>
      <c r="C2" s="33" t="s">
        <v>20</v>
      </c>
      <c r="D2" s="33" t="s">
        <v>35</v>
      </c>
      <c r="E2" s="33" t="s">
        <v>34</v>
      </c>
      <c r="F2" s="77" t="s">
        <v>108</v>
      </c>
      <c r="G2" s="77" t="s">
        <v>138</v>
      </c>
      <c r="H2" s="77" t="s">
        <v>109</v>
      </c>
      <c r="I2" s="77" t="s">
        <v>110</v>
      </c>
      <c r="J2" s="77" t="s">
        <v>44</v>
      </c>
      <c r="K2" s="77" t="s">
        <v>112</v>
      </c>
      <c r="L2" s="77" t="s">
        <v>139</v>
      </c>
      <c r="M2" s="77" t="s">
        <v>79</v>
      </c>
      <c r="N2" s="77" t="s">
        <v>113</v>
      </c>
      <c r="O2" s="77" t="s">
        <v>80</v>
      </c>
      <c r="P2" s="77" t="s">
        <v>62</v>
      </c>
      <c r="Q2" s="77" t="s">
        <v>67</v>
      </c>
      <c r="R2" s="77" t="s">
        <v>144</v>
      </c>
      <c r="S2" s="77" t="s">
        <v>81</v>
      </c>
      <c r="T2" s="77" t="s">
        <v>73</v>
      </c>
      <c r="U2" s="77" t="s">
        <v>82</v>
      </c>
      <c r="V2" s="77" t="s">
        <v>83</v>
      </c>
      <c r="W2" s="77" t="s">
        <v>111</v>
      </c>
      <c r="X2" s="77" t="s">
        <v>84</v>
      </c>
      <c r="Y2" s="77" t="s">
        <v>76</v>
      </c>
      <c r="Z2" s="77" t="s">
        <v>399</v>
      </c>
      <c r="AA2" s="79" t="s">
        <v>141</v>
      </c>
      <c r="AB2" s="79" t="s">
        <v>142</v>
      </c>
    </row>
    <row r="3" spans="1:28" x14ac:dyDescent="0.25">
      <c r="A3" s="42">
        <f ca="1">IFERROR(Table222[[#This Row],[Position]],"")</f>
        <v>1</v>
      </c>
      <c r="B3" s="18" t="s">
        <v>41</v>
      </c>
      <c r="C3" s="81">
        <f ca="1">IF(Table222[[#This Row],[Total races]]=0,0,(RANK(E3,$E$3:$E$63)+COUNTIF(E3:$E$57,E3)-1))</f>
        <v>1</v>
      </c>
      <c r="D3" s="5">
        <f>COUNTIF(F3:AB3,"&gt;=0")</f>
        <v>18</v>
      </c>
      <c r="E3" s="5">
        <f t="array" aca="1" ref="E3" ca="1">IF(Table222[[#This Row],[Total races]]&lt;11,SUM(Table222[[#This Row],[Derby 5k]:[Shepshed 7]]),SUM(LARGE(F3:AB3,ROW(INDIRECT("1:10")))))+Table222[[#This Row],[Total races]]*3</f>
        <v>348</v>
      </c>
      <c r="F3" s="5" t="str">
        <f>IFERROR(VLOOKUP(B3,'Derby 5K'!$M$4:$V$15,10,FALSE),"")</f>
        <v/>
      </c>
      <c r="G3" s="5">
        <f>IFERROR(VLOOKUP(B3,'Grace Dieu XC'!$A:$C,3,FALSE),"")</f>
        <v>28</v>
      </c>
      <c r="H3" s="5">
        <f>IFERROR(VLOOKUP(B3,'Bosworth XC'!$A:$C,3,FALSE),"")</f>
        <v>29</v>
      </c>
      <c r="I3" s="5">
        <f>IFERROR(VLOOKUP($B3,'Kibworth 6'!$A:$C,3,FALSE),"")</f>
        <v>29</v>
      </c>
      <c r="J3" s="5" t="str">
        <f>IFERROR(VLOOKUP($B3,'Ivanhoe 20'!$A:$C,3,FALSE),"")</f>
        <v/>
      </c>
      <c r="K3" s="5" t="str">
        <f>IFERROR(VLOOKUP($B3,'Run In Forest'!$A:$C,3,FALSE),"")</f>
        <v/>
      </c>
      <c r="L3" s="5">
        <f>IFERROR(VLOOKUP($B3,'Stilton 7'!$A:$C,3,FALSE),"")</f>
        <v>29</v>
      </c>
      <c r="M3" s="5">
        <f>IFERROR(VLOOKUP($B3,'Uttoxeter HM'!$A:$C,3,FALSE),"")</f>
        <v>30</v>
      </c>
      <c r="N3" s="5">
        <f>IFERROR(VLOOKUP($B3,'Bosworth HM'!$A:$C,3,FALSE),"")</f>
        <v>27</v>
      </c>
      <c r="O3" s="5" t="str">
        <f>IFERROR(VLOOKUP($B3,'West End 8'!$A:$C,3,FALSE),"")</f>
        <v/>
      </c>
      <c r="P3" s="5">
        <f>IFERROR(VLOOKUP($B3,'Swithland 6'!$A:$C,3,FALSE),"")</f>
        <v>27</v>
      </c>
      <c r="Q3" s="5">
        <f>IFERROR(VLOOKUP($B3,'Washlands Relays'!$A:$C,3,FALSE),"")</f>
        <v>23</v>
      </c>
      <c r="R3" s="5">
        <f>IFERROR(VLOOKUP($B3,'Tara Kinder 10K'!$A:$C,3,FALSE),"")</f>
        <v>27</v>
      </c>
      <c r="S3" s="5" t="str">
        <f>IFERROR(VLOOKUP($B3,'Worthington 6'!$A:$C,3,FALSE),"")</f>
        <v/>
      </c>
      <c r="T3" s="5">
        <f>IFERROR(VLOOKUP($B3,'Joy Cann 5'!$A:$C,3,FALSE),"")</f>
        <v>29</v>
      </c>
      <c r="U3" s="5">
        <f>IFERROR(VLOOKUP($B3,'Burton 10k'!$A:$C,3,FALSE),"")</f>
        <v>29</v>
      </c>
      <c r="V3" s="5">
        <f>IFERROR(VLOOKUP($B3,'Rotherby 8'!$A:$C,3,FALSE),"")</f>
        <v>30</v>
      </c>
      <c r="W3" s="5">
        <f>IFERROR(VLOOKUP($B3,'Lichfield 10k'!$A:$C,3,FALSE),"")</f>
        <v>30</v>
      </c>
      <c r="X3" s="5">
        <f>IFERROR(VLOOKUP($B3,'Adrian Smith'!$A:$C,3,FALSE),"")</f>
        <v>29</v>
      </c>
      <c r="Y3" s="5">
        <f>IFERROR(VLOOKUP($B3,'Tamworth 5'!$A:$C,3,FALSE),"")</f>
        <v>27</v>
      </c>
      <c r="Z3" s="5">
        <f>IFERROR(VLOOKUP($B3,'Bagworth XC'!$A:$C,3,FALSE),"")</f>
        <v>26</v>
      </c>
      <c r="AA3" s="76">
        <f>IFERROR(VLOOKUP($B3,'Markfield 10k'!$A:$C,3,FALSE),"")</f>
        <v>30</v>
      </c>
      <c r="AB3" s="76">
        <f>IFERROR(VLOOKUP($B3,'Shepshed 7'!$A:$C,3,FALSE),"")</f>
        <v>29</v>
      </c>
    </row>
    <row r="4" spans="1:28" x14ac:dyDescent="0.25">
      <c r="A4" s="42">
        <f ca="1">IFERROR(Table222[[#This Row],[Position]],"")</f>
        <v>2</v>
      </c>
      <c r="B4" s="18" t="s">
        <v>13</v>
      </c>
      <c r="C4" s="81">
        <f ca="1">IF(Table222[[#This Row],[Total races]]=0,0,(RANK(E4,$E$3:$E$63)+COUNTIF(E4:$E$57,E4)-1))</f>
        <v>2</v>
      </c>
      <c r="D4" s="5">
        <f>COUNTIF(F4:AB4,"&gt;=0")</f>
        <v>12</v>
      </c>
      <c r="E4" s="5">
        <f t="array" aca="1" ref="E4" ca="1">IF(Table222[[#This Row],[Total races]]&lt;11,SUM(Table222[[#This Row],[Derby 5k]:[Shepshed 7]]),SUM(LARGE(F4:AB4,ROW(INDIRECT("1:10")))))+Table222[[#This Row],[Total races]]*3</f>
        <v>301</v>
      </c>
      <c r="F4" s="5" t="str">
        <f>IFERROR(VLOOKUP(B4,'Derby 5K'!$M$4:$V$15,10,FALSE),"")</f>
        <v/>
      </c>
      <c r="G4" s="5" t="str">
        <f>IFERROR(VLOOKUP(B4,'Grace Dieu XC'!$A:$C,3,FALSE),"")</f>
        <v/>
      </c>
      <c r="H4" s="5" t="str">
        <f>IFERROR(VLOOKUP(B4,'Bosworth XC'!$A:$C,3,FALSE),"")</f>
        <v/>
      </c>
      <c r="I4" s="5">
        <f>IFERROR(VLOOKUP($B4,'Kibworth 6'!$A:$C,3,FALSE),"")</f>
        <v>27</v>
      </c>
      <c r="J4" s="5">
        <f>IFERROR(VLOOKUP($B4,'Ivanhoe 20'!$A:$C,3,FALSE),"")</f>
        <v>26</v>
      </c>
      <c r="K4" s="5">
        <f>IFERROR(VLOOKUP($B4,'Run In Forest'!$A:$C,3,FALSE),"")</f>
        <v>25</v>
      </c>
      <c r="L4" s="5">
        <f>IFERROR(VLOOKUP($B4,'Stilton 7'!$A:$C,3,FALSE),"")</f>
        <v>28</v>
      </c>
      <c r="M4" s="5" t="str">
        <f>IFERROR(VLOOKUP($B4,'Uttoxeter HM'!$A:$C,3,FALSE),"")</f>
        <v/>
      </c>
      <c r="N4" s="5">
        <f>IFERROR(VLOOKUP($B4,'Bosworth HM'!$A:$C,3,FALSE),"")</f>
        <v>26</v>
      </c>
      <c r="O4" s="5">
        <f>IFERROR(VLOOKUP($B4,'West End 8'!$A:$C,3,FALSE),"")</f>
        <v>23</v>
      </c>
      <c r="P4" s="5" t="str">
        <f>IFERROR(VLOOKUP($B4,'Swithland 6'!$A:$C,3,FALSE),"")</f>
        <v/>
      </c>
      <c r="Q4" s="5">
        <f>IFERROR(VLOOKUP($B4,'Washlands Relays'!$A:$C,3,FALSE),"")</f>
        <v>14</v>
      </c>
      <c r="R4" s="5" t="str">
        <f>IFERROR(VLOOKUP($B4,'Tara Kinder 10K'!$A:$C,3,FALSE),"")</f>
        <v/>
      </c>
      <c r="S4" s="5">
        <f>IFERROR(VLOOKUP($B4,'Worthington 6'!$A:$C,3,FALSE),"")</f>
        <v>28</v>
      </c>
      <c r="T4" s="5" t="str">
        <f>IFERROR(VLOOKUP($B4,'Joy Cann 5'!$A:$C,3,FALSE),"")</f>
        <v/>
      </c>
      <c r="U4" s="5">
        <f>IFERROR(VLOOKUP($B4,'Burton 10k'!$A:$C,3,FALSE),"")</f>
        <v>26</v>
      </c>
      <c r="V4" s="5" t="str">
        <f>IFERROR(VLOOKUP($B4,'Rotherby 8'!$A:$C,3,FALSE),"")</f>
        <v/>
      </c>
      <c r="W4" s="5" t="str">
        <f>IFERROR(VLOOKUP($B4,'Lichfield 10k'!$A:$C,3,FALSE),"")</f>
        <v/>
      </c>
      <c r="X4" s="5" t="str">
        <f>IFERROR(VLOOKUP($B4,'Adrian Smith'!$A:$C,3,FALSE),"")</f>
        <v/>
      </c>
      <c r="Y4" s="5">
        <f>IFERROR(VLOOKUP($B4,'Tamworth 5'!$A:$C,3,FALSE),"")</f>
        <v>26</v>
      </c>
      <c r="Z4" s="31">
        <f>IFERROR(VLOOKUP($B4,'Bagworth XC'!$A:$C,3,FALSE),"")</f>
        <v>24</v>
      </c>
      <c r="AA4" s="5">
        <f>IFERROR(VLOOKUP($B4,'Markfield 10k'!$A:$C,3,FALSE),"")</f>
        <v>29</v>
      </c>
      <c r="AB4" s="5" t="str">
        <f>IFERROR(VLOOKUP($B4,'Shepshed 7'!$A:$C,3,FALSE),"")</f>
        <v/>
      </c>
    </row>
    <row r="5" spans="1:28" x14ac:dyDescent="0.25">
      <c r="A5" s="42">
        <f ca="1">IFERROR(Table222[[#This Row],[Position]],"")</f>
        <v>3</v>
      </c>
      <c r="B5" s="18" t="s">
        <v>38</v>
      </c>
      <c r="C5" s="81">
        <f ca="1">IF(Table222[[#This Row],[Total races]]=0,0,(RANK(E5,$E$3:$E$63)+COUNTIF(E5:$E$57,E5)-1))</f>
        <v>3</v>
      </c>
      <c r="D5" s="5">
        <f>COUNTIF(F5:AB5,"&gt;=0")</f>
        <v>9</v>
      </c>
      <c r="E5" s="5">
        <f t="array" aca="1" ref="E5" ca="1">IF(Table222[[#This Row],[Total races]]&lt;11,SUM(Table222[[#This Row],[Derby 5k]:[Shepshed 7]]),SUM(LARGE(F5:AB5,ROW(INDIRECT("1:10")))))+Table222[[#This Row],[Total races]]*3</f>
        <v>295</v>
      </c>
      <c r="F5" s="5" t="str">
        <f>IFERROR(VLOOKUP(B5,'Derby 5K'!$M$4:$V$15,10,FALSE),"")</f>
        <v/>
      </c>
      <c r="G5" s="5" t="str">
        <f>IFERROR(VLOOKUP(B5,'Grace Dieu XC'!$A:$C,3,FALSE),"")</f>
        <v/>
      </c>
      <c r="H5" s="5" t="str">
        <f>IFERROR(VLOOKUP(B5,'Bosworth XC'!$A:$C,3,FALSE),"")</f>
        <v/>
      </c>
      <c r="I5" s="5" t="str">
        <f>IFERROR(VLOOKUP($B5,'Kibworth 6'!$A:$C,3,FALSE),"")</f>
        <v/>
      </c>
      <c r="J5" s="5">
        <f>IFERROR(VLOOKUP($B5,'Ivanhoe 20'!$A:$C,3,FALSE),"")</f>
        <v>28</v>
      </c>
      <c r="K5" s="5">
        <f>IFERROR(VLOOKUP($B5,'Run In Forest'!$A:$C,3,FALSE),"")</f>
        <v>30</v>
      </c>
      <c r="L5" s="5" t="str">
        <f>IFERROR(VLOOKUP($B5,'Stilton 7'!$A:$C,3,FALSE),"")</f>
        <v/>
      </c>
      <c r="M5" s="5" t="str">
        <f>IFERROR(VLOOKUP($B5,'Uttoxeter HM'!$A:$C,3,FALSE),"")</f>
        <v/>
      </c>
      <c r="N5" s="5" t="str">
        <f>IFERROR(VLOOKUP($B5,'Bosworth HM'!$A:$C,3,FALSE),"")</f>
        <v/>
      </c>
      <c r="O5" s="5" t="str">
        <f>IFERROR(VLOOKUP($B5,'West End 8'!$A:$C,3,FALSE),"")</f>
        <v/>
      </c>
      <c r="P5" s="5">
        <f>IFERROR(VLOOKUP($B5,'Swithland 6'!$A:$C,3,FALSE),"")</f>
        <v>30</v>
      </c>
      <c r="Q5" s="5">
        <f>IFERROR(VLOOKUP($B5,'Washlands Relays'!$A:$C,3,FALSE),"")</f>
        <v>30</v>
      </c>
      <c r="R5" s="5">
        <f>IFERROR(VLOOKUP($B5,'Tara Kinder 10K'!$A:$C,3,FALSE),"")</f>
        <v>30</v>
      </c>
      <c r="S5" s="5">
        <f>IFERROR(VLOOKUP($B5,'Worthington 6'!$A:$C,3,FALSE),"")</f>
        <v>30</v>
      </c>
      <c r="T5" s="5" t="str">
        <f>IFERROR(VLOOKUP($B5,'Joy Cann 5'!$A:$C,3,FALSE),"")</f>
        <v/>
      </c>
      <c r="U5" s="5" t="str">
        <f>IFERROR(VLOOKUP($B5,'Burton 10k'!$A:$C,3,FALSE),"")</f>
        <v/>
      </c>
      <c r="V5" s="5" t="str">
        <f>IFERROR(VLOOKUP($B5,'Rotherby 8'!$A:$C,3,FALSE),"")</f>
        <v/>
      </c>
      <c r="W5" s="5" t="str">
        <f>IFERROR(VLOOKUP($B5,'Lichfield 10k'!$A:$C,3,FALSE),"")</f>
        <v/>
      </c>
      <c r="X5" s="5" t="str">
        <f>IFERROR(VLOOKUP($B5,'Adrian Smith'!$A:$C,3,FALSE),"")</f>
        <v/>
      </c>
      <c r="Y5" s="5">
        <f>IFERROR(VLOOKUP($B5,'Tamworth 5'!$A:$C,3,FALSE),"")</f>
        <v>30</v>
      </c>
      <c r="Z5" s="31">
        <f>IFERROR(VLOOKUP($B5,'Bagworth XC'!$A:$C,3,FALSE),"")</f>
        <v>30</v>
      </c>
      <c r="AA5" s="5" t="str">
        <f>IFERROR(VLOOKUP($B5,'Markfield 10k'!$A:$C,3,FALSE),"")</f>
        <v/>
      </c>
      <c r="AB5" s="5">
        <f>IFERROR(VLOOKUP($B5,'Shepshed 7'!$A:$C,3,FALSE),"")</f>
        <v>30</v>
      </c>
    </row>
    <row r="6" spans="1:28" x14ac:dyDescent="0.25">
      <c r="A6" s="42">
        <f ca="1">IFERROR(Table222[[#This Row],[Position]],"")</f>
        <v>4</v>
      </c>
      <c r="B6" s="18" t="s">
        <v>93</v>
      </c>
      <c r="C6" s="81">
        <f ca="1">IF(Table222[[#This Row],[Total races]]=0,0,(RANK(E6,$E$3:$E$63)+COUNTIF(E6:$E$57,E6)-1))</f>
        <v>4</v>
      </c>
      <c r="D6" s="5">
        <f>COUNTIF(F6:AB6,"&gt;=0")</f>
        <v>9</v>
      </c>
      <c r="E6" s="5">
        <f t="array" aca="1" ref="E6" ca="1">IF(Table222[[#This Row],[Total races]]&lt;11,SUM(Table222[[#This Row],[Derby 5k]:[Shepshed 7]]),SUM(LARGE(F6:AB6,ROW(INDIRECT("1:10")))))+Table222[[#This Row],[Total races]]*3</f>
        <v>287</v>
      </c>
      <c r="F6" s="5">
        <f>IFERROR(VLOOKUP(B6,'Derby 5K'!$M$4:$V$15,10,FALSE),"")</f>
        <v>30</v>
      </c>
      <c r="G6" s="5" t="str">
        <f>IFERROR(VLOOKUP(B6,'Grace Dieu XC'!$A:$C,3,FALSE),"")</f>
        <v/>
      </c>
      <c r="H6" s="5" t="str">
        <f>IFERROR(VLOOKUP(B6,'Bosworth XC'!$A:$C,3,FALSE),"")</f>
        <v/>
      </c>
      <c r="I6" s="5" t="str">
        <f>IFERROR(VLOOKUP($B6,'Kibworth 6'!$A:$C,3,FALSE),"")</f>
        <v/>
      </c>
      <c r="J6" s="5" t="str">
        <f>IFERROR(VLOOKUP($B6,'Ivanhoe 20'!$A:$C,3,FALSE),"")</f>
        <v/>
      </c>
      <c r="K6" s="5">
        <f>IFERROR(VLOOKUP($B6,'Run In Forest'!$A:$C,3,FALSE),"")</f>
        <v>29</v>
      </c>
      <c r="L6" s="5" t="str">
        <f>IFERROR(VLOOKUP($B6,'Stilton 7'!$A:$C,3,FALSE),"")</f>
        <v/>
      </c>
      <c r="M6" s="5" t="str">
        <f>IFERROR(VLOOKUP($B6,'Uttoxeter HM'!$A:$C,3,FALSE),"")</f>
        <v/>
      </c>
      <c r="N6" s="5">
        <f>IFERROR(VLOOKUP($B6,'Bosworth HM'!$A:$C,3,FALSE),"")</f>
        <v>29</v>
      </c>
      <c r="O6" s="5">
        <f>IFERROR(VLOOKUP($B6,'West End 8'!$A:$C,3,FALSE),"")</f>
        <v>30</v>
      </c>
      <c r="P6" s="5">
        <f>IFERROR(VLOOKUP($B6,'Swithland 6'!$A:$C,3,FALSE),"")</f>
        <v>28</v>
      </c>
      <c r="Q6" s="5">
        <f>IFERROR(VLOOKUP($B6,'Washlands Relays'!$A:$C,3,FALSE),"")</f>
        <v>28</v>
      </c>
      <c r="R6" s="5">
        <f>IFERROR(VLOOKUP($B6,'Tara Kinder 10K'!$A:$C,3,FALSE),"")</f>
        <v>29</v>
      </c>
      <c r="S6" s="5" t="str">
        <f>IFERROR(VLOOKUP($B6,'Worthington 6'!$A:$C,3,FALSE),"")</f>
        <v/>
      </c>
      <c r="T6" s="5" t="str">
        <f>IFERROR(VLOOKUP($B6,'Joy Cann 5'!$A:$C,3,FALSE),"")</f>
        <v/>
      </c>
      <c r="U6" s="5" t="str">
        <f>IFERROR(VLOOKUP($B6,'Burton 10k'!$A:$C,3,FALSE),"")</f>
        <v/>
      </c>
      <c r="V6" s="5" t="str">
        <f>IFERROR(VLOOKUP($B6,'Rotherby 8'!$A:$C,3,FALSE),"")</f>
        <v/>
      </c>
      <c r="W6" s="5" t="str">
        <f>IFERROR(VLOOKUP($B6,'Lichfield 10k'!$A:$C,3,FALSE),"")</f>
        <v/>
      </c>
      <c r="X6" s="5">
        <f>IFERROR(VLOOKUP($B6,'Adrian Smith'!$A:$C,3,FALSE),"")</f>
        <v>28</v>
      </c>
      <c r="Y6" s="5">
        <f>IFERROR(VLOOKUP($B6,'Tamworth 5'!$A:$C,3,FALSE),"")</f>
        <v>29</v>
      </c>
      <c r="Z6" s="31" t="str">
        <f>IFERROR(VLOOKUP($B6,'Bagworth XC'!$A:$C,3,FALSE),"")</f>
        <v/>
      </c>
      <c r="AA6" s="5" t="str">
        <f>IFERROR(VLOOKUP($B6,'Markfield 10k'!$A:$C,3,FALSE),"")</f>
        <v/>
      </c>
      <c r="AB6" s="5" t="str">
        <f>IFERROR(VLOOKUP($B6,'Shepshed 7'!$A:$C,3,FALSE),"")</f>
        <v/>
      </c>
    </row>
    <row r="7" spans="1:28" x14ac:dyDescent="0.25">
      <c r="A7" s="42">
        <f ca="1">IFERROR(Table222[[#This Row],[Position]],"")</f>
        <v>5</v>
      </c>
      <c r="B7" s="18" t="s">
        <v>66</v>
      </c>
      <c r="C7" s="81">
        <f ca="1">IF(Table222[[#This Row],[Total races]]=0,0,(RANK(E7,$E$3:$E$63)+COUNTIF(E7:$E$57,E7)-1))</f>
        <v>5</v>
      </c>
      <c r="D7" s="5">
        <f>COUNTIF(F7:AB7,"&gt;=0")</f>
        <v>8</v>
      </c>
      <c r="E7" s="5">
        <f t="array" aca="1" ref="E7" ca="1">IF(Table222[[#This Row],[Total races]]&lt;11,SUM(Table222[[#This Row],[Derby 5k]:[Shepshed 7]]),SUM(LARGE(F7:AB7,ROW(INDIRECT("1:10")))))+Table222[[#This Row],[Total races]]*3</f>
        <v>228</v>
      </c>
      <c r="F7" s="5" t="str">
        <f>IFERROR(VLOOKUP(B7,'Derby 5K'!$M$4:$V$15,10,FALSE),"")</f>
        <v/>
      </c>
      <c r="G7" s="5" t="str">
        <f>IFERROR(VLOOKUP(B7,'Grace Dieu XC'!$A:$C,3,FALSE),"")</f>
        <v/>
      </c>
      <c r="H7" s="5" t="str">
        <f>IFERROR(VLOOKUP(B7,'Bosworth XC'!$A:$C,3,FALSE),"")</f>
        <v/>
      </c>
      <c r="I7" s="5" t="str">
        <f>IFERROR(VLOOKUP($B7,'Kibworth 6'!$A:$C,3,FALSE),"")</f>
        <v/>
      </c>
      <c r="J7" s="5">
        <f>IFERROR(VLOOKUP($B7,'Ivanhoe 20'!$A:$C,3,FALSE),"")</f>
        <v>23</v>
      </c>
      <c r="K7" s="5">
        <f>IFERROR(VLOOKUP($B7,'Run In Forest'!$A:$C,3,FALSE),"")</f>
        <v>26</v>
      </c>
      <c r="L7" s="5" t="str">
        <f>IFERROR(VLOOKUP($B7,'Stilton 7'!$A:$C,3,FALSE),"")</f>
        <v/>
      </c>
      <c r="M7" s="5" t="str">
        <f>IFERROR(VLOOKUP($B7,'Uttoxeter HM'!$A:$C,3,FALSE),"")</f>
        <v/>
      </c>
      <c r="N7" s="5">
        <f>IFERROR(VLOOKUP($B7,'Bosworth HM'!$A:$C,3,FALSE),"")</f>
        <v>28</v>
      </c>
      <c r="O7" s="5">
        <f>IFERROR(VLOOKUP($B7,'West End 8'!$A:$C,3,FALSE),"")</f>
        <v>27</v>
      </c>
      <c r="P7" s="5" t="str">
        <f>IFERROR(VLOOKUP($B7,'Swithland 6'!$A:$C,3,FALSE),"")</f>
        <v/>
      </c>
      <c r="Q7" s="5">
        <f>IFERROR(VLOOKUP($B7,'Washlands Relays'!$A:$C,3,FALSE),"")</f>
        <v>21</v>
      </c>
      <c r="R7" s="5" t="str">
        <f>IFERROR(VLOOKUP($B7,'Tara Kinder 10K'!$A:$C,3,FALSE),"")</f>
        <v/>
      </c>
      <c r="S7" s="5">
        <f>IFERROR(VLOOKUP($B7,'Worthington 6'!$A:$C,3,FALSE),"")</f>
        <v>29</v>
      </c>
      <c r="T7" s="5" t="str">
        <f>IFERROR(VLOOKUP($B7,'Joy Cann 5'!$A:$C,3,FALSE),"")</f>
        <v/>
      </c>
      <c r="U7" s="5">
        <f>IFERROR(VLOOKUP($B7,'Burton 10k'!$A:$C,3,FALSE),"")</f>
        <v>28</v>
      </c>
      <c r="V7" s="5" t="str">
        <f>IFERROR(VLOOKUP($B7,'Rotherby 8'!$A:$C,3,FALSE),"")</f>
        <v/>
      </c>
      <c r="W7" s="5" t="str">
        <f>IFERROR(VLOOKUP($B7,'Lichfield 10k'!$A:$C,3,FALSE),"")</f>
        <v/>
      </c>
      <c r="X7" s="5" t="str">
        <f>IFERROR(VLOOKUP($B7,'Adrian Smith'!$A:$C,3,FALSE),"")</f>
        <v/>
      </c>
      <c r="Y7" s="5" t="str">
        <f>IFERROR(VLOOKUP($B7,'Tamworth 5'!$A:$C,3,FALSE),"")</f>
        <v/>
      </c>
      <c r="Z7" s="31">
        <f>IFERROR(VLOOKUP($B7,'Bagworth XC'!$A:$C,3,FALSE),"")</f>
        <v>22</v>
      </c>
      <c r="AA7" s="5" t="str">
        <f>IFERROR(VLOOKUP($B7,'Markfield 10k'!$A:$C,3,FALSE),"")</f>
        <v/>
      </c>
      <c r="AB7" s="5" t="str">
        <f>IFERROR(VLOOKUP($B7,'Shepshed 7'!$A:$C,3,FALSE),"")</f>
        <v/>
      </c>
    </row>
    <row r="8" spans="1:28" x14ac:dyDescent="0.25">
      <c r="A8" s="42">
        <f ca="1">IFERROR(Table222[[#This Row],[Position]],"")</f>
        <v>6</v>
      </c>
      <c r="B8" s="18" t="s">
        <v>168</v>
      </c>
      <c r="C8" s="81">
        <f ca="1">IF(Table222[[#This Row],[Total races]]=0,0,(RANK(E8,$E$3:$E$63)+COUNTIF(E8:$E$57,E8)-1))</f>
        <v>6</v>
      </c>
      <c r="D8" s="5">
        <f>COUNTIF(F8:AB8,"&gt;=0")</f>
        <v>9</v>
      </c>
      <c r="E8" s="5">
        <f t="array" aca="1" ref="E8" ca="1">IF(Table222[[#This Row],[Total races]]&lt;11,SUM(Table222[[#This Row],[Derby 5k]:[Shepshed 7]]),SUM(LARGE(F8:AB8,ROW(INDIRECT("1:10")))))+Table222[[#This Row],[Total races]]*3</f>
        <v>226</v>
      </c>
      <c r="F8" s="5" t="str">
        <f>IFERROR(VLOOKUP(B8,'Derby 5K'!$M$4:$V$15,10,FALSE),"")</f>
        <v/>
      </c>
      <c r="G8" s="5">
        <f>IFERROR(VLOOKUP(B8,'Grace Dieu XC'!$A:$C,3,FALSE),"")</f>
        <v>24</v>
      </c>
      <c r="H8" s="5" t="str">
        <f>IFERROR(VLOOKUP(B8,'Bosworth XC'!$A:$C,3,FALSE),"")</f>
        <v/>
      </c>
      <c r="I8" s="5" t="str">
        <f>IFERROR(VLOOKUP($B8,'Kibworth 6'!$A:$C,3,FALSE),"")</f>
        <v/>
      </c>
      <c r="J8" s="5" t="str">
        <f>IFERROR(VLOOKUP($B8,'Ivanhoe 20'!$A:$C,3,FALSE),"")</f>
        <v/>
      </c>
      <c r="K8" s="5">
        <f>IFERROR(VLOOKUP($B8,'Run In Forest'!$A:$C,3,FALSE),"")</f>
        <v>22</v>
      </c>
      <c r="L8" s="5">
        <f>IFERROR(VLOOKUP($B8,'Stilton 7'!$A:$C,3,FALSE),"")</f>
        <v>27</v>
      </c>
      <c r="M8" s="5" t="str">
        <f>IFERROR(VLOOKUP($B8,'Uttoxeter HM'!$A:$C,3,FALSE),"")</f>
        <v/>
      </c>
      <c r="N8" s="5" t="str">
        <f>IFERROR(VLOOKUP($B8,'Bosworth HM'!$A:$C,3,FALSE),"")</f>
        <v/>
      </c>
      <c r="O8" s="5">
        <f>IFERROR(VLOOKUP($B8,'West End 8'!$A:$C,3,FALSE),"")</f>
        <v>20</v>
      </c>
      <c r="P8" s="5" t="str">
        <f>IFERROR(VLOOKUP($B8,'Swithland 6'!$A:$C,3,FALSE),"")</f>
        <v/>
      </c>
      <c r="Q8" s="5">
        <f>IFERROR(VLOOKUP($B8,'Washlands Relays'!$A:$C,3,FALSE),"")</f>
        <v>13</v>
      </c>
      <c r="R8" s="5" t="str">
        <f>IFERROR(VLOOKUP($B8,'Tara Kinder 10K'!$A:$C,3,FALSE),"")</f>
        <v/>
      </c>
      <c r="S8" s="5">
        <f>IFERROR(VLOOKUP($B8,'Worthington 6'!$A:$C,3,FALSE),"")</f>
        <v>25</v>
      </c>
      <c r="T8" s="5">
        <f>IFERROR(VLOOKUP($B8,'Joy Cann 5'!$A:$C,3,FALSE),"")</f>
        <v>25</v>
      </c>
      <c r="U8" s="5" t="str">
        <f>IFERROR(VLOOKUP($B8,'Burton 10k'!$A:$C,3,FALSE),"")</f>
        <v/>
      </c>
      <c r="V8" s="5" t="str">
        <f>IFERROR(VLOOKUP($B8,'Rotherby 8'!$A:$C,3,FALSE),"")</f>
        <v/>
      </c>
      <c r="W8" s="5" t="str">
        <f>IFERROR(VLOOKUP($B8,'Lichfield 10k'!$A:$C,3,FALSE),"")</f>
        <v/>
      </c>
      <c r="X8" s="5">
        <f>IFERROR(VLOOKUP($B8,'Adrian Smith'!$A:$C,3,FALSE),"")</f>
        <v>21</v>
      </c>
      <c r="Y8" s="5">
        <f>IFERROR(VLOOKUP($B8,'Tamworth 5'!$A:$C,3,FALSE),"")</f>
        <v>22</v>
      </c>
      <c r="Z8" s="31" t="str">
        <f>IFERROR(VLOOKUP($B8,'Bagworth XC'!$A:$C,3,FALSE),"")</f>
        <v/>
      </c>
      <c r="AA8" s="5" t="str">
        <f>IFERROR(VLOOKUP($B8,'Markfield 10k'!$A:$C,3,FALSE),"")</f>
        <v/>
      </c>
      <c r="AB8" s="5" t="str">
        <f>IFERROR(VLOOKUP($B8,'Shepshed 7'!$A:$C,3,FALSE),"")</f>
        <v/>
      </c>
    </row>
    <row r="9" spans="1:28" x14ac:dyDescent="0.25">
      <c r="A9" s="42">
        <f ca="1">IFERROR(Table222[[#This Row],[Position]],"")</f>
        <v>7</v>
      </c>
      <c r="B9" s="18" t="s">
        <v>256</v>
      </c>
      <c r="C9" s="81">
        <f ca="1">IF(Table222[[#This Row],[Total races]]=0,0,(RANK(E9,$E$3:$E$63)+COUNTIF(E9:$E$57,E9)-1))</f>
        <v>7</v>
      </c>
      <c r="D9" s="5">
        <f>COUNTIF(F9:AB9,"&gt;=0")</f>
        <v>7</v>
      </c>
      <c r="E9" s="5">
        <f t="array" aca="1" ref="E9" ca="1">IF(Table222[[#This Row],[Total races]]&lt;11,SUM(Table222[[#This Row],[Derby 5k]:[Shepshed 7]]),SUM(LARGE(F9:AB9,ROW(INDIRECT("1:10")))))+Table222[[#This Row],[Total races]]*3</f>
        <v>222</v>
      </c>
      <c r="F9" s="5">
        <f>IFERROR(VLOOKUP(B9,'Derby 5K'!$M$4:$V$15,10,FALSE),"")</f>
        <v>29</v>
      </c>
      <c r="G9" s="5" t="str">
        <f>IFERROR(VLOOKUP(B9,'Grace Dieu XC'!$A:$C,3,FALSE),"")</f>
        <v/>
      </c>
      <c r="H9" s="5" t="str">
        <f>IFERROR(VLOOKUP(B9,'Bosworth XC'!$A:$C,3,FALSE),"")</f>
        <v/>
      </c>
      <c r="I9" s="5" t="str">
        <f>IFERROR(VLOOKUP($B9,'Kibworth 6'!$A:$C,3,FALSE),"")</f>
        <v/>
      </c>
      <c r="J9" s="5" t="str">
        <f>IFERROR(VLOOKUP($B9,'Ivanhoe 20'!$A:$C,3,FALSE),"")</f>
        <v/>
      </c>
      <c r="K9" s="5" t="str">
        <f>IFERROR(VLOOKUP($B9,'Run In Forest'!$A:$C,3,FALSE),"")</f>
        <v/>
      </c>
      <c r="L9" s="5" t="str">
        <f>IFERROR(VLOOKUP($B9,'Stilton 7'!$A:$C,3,FALSE),"")</f>
        <v/>
      </c>
      <c r="M9" s="5" t="str">
        <f>IFERROR(VLOOKUP($B9,'Uttoxeter HM'!$A:$C,3,FALSE),"")</f>
        <v/>
      </c>
      <c r="N9" s="5">
        <f>IFERROR(VLOOKUP($B9,'Bosworth HM'!$A:$C,3,FALSE),"")</f>
        <v>30</v>
      </c>
      <c r="O9" s="5">
        <f>IFERROR(VLOOKUP($B9,'West End 8'!$A:$C,3,FALSE),"")</f>
        <v>29</v>
      </c>
      <c r="P9" s="5">
        <f>IFERROR(VLOOKUP($B9,'Swithland 6'!$A:$C,3,FALSE),"")</f>
        <v>29</v>
      </c>
      <c r="Q9" s="5">
        <f>IFERROR(VLOOKUP($B9,'Washlands Relays'!$A:$C,3,FALSE),"")</f>
        <v>29</v>
      </c>
      <c r="R9" s="5" t="str">
        <f>IFERROR(VLOOKUP($B9,'Tara Kinder 10K'!$A:$C,3,FALSE),"")</f>
        <v/>
      </c>
      <c r="S9" s="5" t="str">
        <f>IFERROR(VLOOKUP($B9,'Worthington 6'!$A:$C,3,FALSE),"")</f>
        <v/>
      </c>
      <c r="T9" s="5">
        <f>IFERROR(VLOOKUP($B9,'Joy Cann 5'!$A:$C,3,FALSE),"")</f>
        <v>30</v>
      </c>
      <c r="U9" s="5">
        <f>IFERROR(VLOOKUP($B9,'Burton 10k'!$A:$C,3,FALSE),"")</f>
        <v>25</v>
      </c>
      <c r="V9" s="5" t="str">
        <f>IFERROR(VLOOKUP($B9,'Rotherby 8'!$A:$C,3,FALSE),"")</f>
        <v/>
      </c>
      <c r="W9" s="5" t="str">
        <f>IFERROR(VLOOKUP($B9,'Lichfield 10k'!$A:$C,3,FALSE),"")</f>
        <v/>
      </c>
      <c r="X9" s="5" t="str">
        <f>IFERROR(VLOOKUP($B9,'Adrian Smith'!$A:$C,3,FALSE),"")</f>
        <v/>
      </c>
      <c r="Y9" s="5" t="str">
        <f>IFERROR(VLOOKUP($B9,'Tamworth 5'!$A:$C,3,FALSE),"")</f>
        <v/>
      </c>
      <c r="Z9" s="31" t="str">
        <f>IFERROR(VLOOKUP($B9,'Bagworth XC'!$A:$C,3,FALSE),"")</f>
        <v/>
      </c>
      <c r="AA9" s="5" t="str">
        <f>IFERROR(VLOOKUP($B9,'Markfield 10k'!$A:$C,3,FALSE),"")</f>
        <v/>
      </c>
      <c r="AB9" s="5" t="str">
        <f>IFERROR(VLOOKUP($B9,'Shepshed 7'!$A:$C,3,FALSE),"")</f>
        <v/>
      </c>
    </row>
    <row r="10" spans="1:28" x14ac:dyDescent="0.25">
      <c r="A10" s="42">
        <f ca="1">IFERROR(Table222[[#This Row],[Position]],"")</f>
        <v>9</v>
      </c>
      <c r="B10" s="18" t="s">
        <v>52</v>
      </c>
      <c r="C10" s="81">
        <f ca="1">IF(Table222[[#This Row],[Total races]]=0,0,(RANK(E10,$E$3:$E$63)+COUNTIF(E10:$E$57,E10)-1))</f>
        <v>9</v>
      </c>
      <c r="D10" s="5">
        <f>COUNTIF(F10:AB10,"&gt;=0")</f>
        <v>7</v>
      </c>
      <c r="E10" s="5">
        <f t="array" aca="1" ref="E10" ca="1">IF(Table222[[#This Row],[Total races]]&lt;11,SUM(Table222[[#This Row],[Derby 5k]:[Shepshed 7]]),SUM(LARGE(F10:AB10,ROW(INDIRECT("1:10")))))+Table222[[#This Row],[Total races]]*3</f>
        <v>212</v>
      </c>
      <c r="F10" s="5" t="str">
        <f>IFERROR(VLOOKUP(B10,'Derby 5K'!$M$4:$V$15,10,FALSE),"")</f>
        <v/>
      </c>
      <c r="G10" s="5" t="str">
        <f>IFERROR(VLOOKUP(B10,'Grace Dieu XC'!$A:$C,3,FALSE),"")</f>
        <v/>
      </c>
      <c r="H10" s="5" t="str">
        <f>IFERROR(VLOOKUP(B10,'Bosworth XC'!$A:$C,3,FALSE),"")</f>
        <v/>
      </c>
      <c r="I10" s="5">
        <f>IFERROR(VLOOKUP($B10,'Kibworth 6'!$A:$C,3,FALSE),"")</f>
        <v>28</v>
      </c>
      <c r="J10" s="5" t="str">
        <f>IFERROR(VLOOKUP($B10,'Ivanhoe 20'!$A:$C,3,FALSE),"")</f>
        <v/>
      </c>
      <c r="K10" s="5" t="str">
        <f>IFERROR(VLOOKUP($B10,'Run In Forest'!$A:$C,3,FALSE),"")</f>
        <v/>
      </c>
      <c r="L10" s="5">
        <f>IFERROR(VLOOKUP($B10,'Stilton 7'!$A:$C,3,FALSE),"")</f>
        <v>30</v>
      </c>
      <c r="M10" s="5" t="str">
        <f>IFERROR(VLOOKUP($B10,'Uttoxeter HM'!$A:$C,3,FALSE),"")</f>
        <v/>
      </c>
      <c r="N10" s="5" t="str">
        <f>IFERROR(VLOOKUP($B10,'Bosworth HM'!$A:$C,3,FALSE),"")</f>
        <v/>
      </c>
      <c r="O10" s="5">
        <f>IFERROR(VLOOKUP($B10,'West End 8'!$A:$C,3,FALSE),"")</f>
        <v>28</v>
      </c>
      <c r="P10" s="5">
        <f>IFERROR(VLOOKUP($B10,'Swithland 6'!$A:$C,3,FALSE),"")</f>
        <v>25</v>
      </c>
      <c r="Q10" s="5">
        <f>IFERROR(VLOOKUP($B10,'Washlands Relays'!$A:$C,3,FALSE),"")</f>
        <v>22</v>
      </c>
      <c r="R10" s="5" t="str">
        <f>IFERROR(VLOOKUP($B10,'Tara Kinder 10K'!$A:$C,3,FALSE),"")</f>
        <v/>
      </c>
      <c r="S10" s="5" t="str">
        <f>IFERROR(VLOOKUP($B10,'Worthington 6'!$A:$C,3,FALSE),"")</f>
        <v/>
      </c>
      <c r="T10" s="5">
        <f>IFERROR(VLOOKUP($B10,'Joy Cann 5'!$A:$C,3,FALSE),"")</f>
        <v>28</v>
      </c>
      <c r="U10" s="5">
        <f>IFERROR(VLOOKUP($B10,'Burton 10k'!$A:$C,3,FALSE),"")</f>
        <v>30</v>
      </c>
      <c r="V10" s="5" t="str">
        <f>IFERROR(VLOOKUP($B10,'Rotherby 8'!$A:$C,3,FALSE),"")</f>
        <v/>
      </c>
      <c r="W10" s="5" t="str">
        <f>IFERROR(VLOOKUP($B10,'Lichfield 10k'!$A:$C,3,FALSE),"")</f>
        <v/>
      </c>
      <c r="X10" s="5" t="str">
        <f>IFERROR(VLOOKUP($B10,'Adrian Smith'!$A:$C,3,FALSE),"")</f>
        <v/>
      </c>
      <c r="Y10" s="5" t="str">
        <f>IFERROR(VLOOKUP($B10,'Tamworth 5'!$A:$C,3,FALSE),"")</f>
        <v/>
      </c>
      <c r="Z10" s="31" t="str">
        <f>IFERROR(VLOOKUP($B10,'Bagworth XC'!$A:$C,3,FALSE),"")</f>
        <v/>
      </c>
      <c r="AA10" s="5" t="str">
        <f>IFERROR(VLOOKUP($B10,'Markfield 10k'!$A:$C,3,FALSE),"")</f>
        <v/>
      </c>
      <c r="AB10" s="5" t="str">
        <f>IFERROR(VLOOKUP($B10,'Shepshed 7'!$A:$C,3,FALSE),"")</f>
        <v/>
      </c>
    </row>
    <row r="11" spans="1:28" x14ac:dyDescent="0.25">
      <c r="A11" s="42">
        <f ca="1">IFERROR(Table222[[#This Row],[Position]],"")</f>
        <v>8</v>
      </c>
      <c r="B11" s="18" t="s">
        <v>127</v>
      </c>
      <c r="C11" s="81">
        <f ca="1">IF(Table222[[#This Row],[Total races]]=0,0,(RANK(E11,$E$3:$E$63)+COUNTIF(E11:$E$57,E11)-1))</f>
        <v>8</v>
      </c>
      <c r="D11" s="5">
        <f>COUNTIF(F11:AB11,"&gt;=0")</f>
        <v>8</v>
      </c>
      <c r="E11" s="5">
        <f t="array" aca="1" ref="E11" ca="1">IF(Table222[[#This Row],[Total races]]&lt;11,SUM(Table222[[#This Row],[Derby 5k]:[Shepshed 7]]),SUM(LARGE(F11:AB11,ROW(INDIRECT("1:10")))))+Table222[[#This Row],[Total races]]*3</f>
        <v>212</v>
      </c>
      <c r="F11" s="5" t="str">
        <f>IFERROR(VLOOKUP(B11,'Derby 5K'!$M$4:$V$15,10,FALSE),"")</f>
        <v/>
      </c>
      <c r="G11" s="5" t="str">
        <f>IFERROR(VLOOKUP(B11,'Grace Dieu XC'!$A:$C,3,FALSE),"")</f>
        <v/>
      </c>
      <c r="H11" s="5" t="str">
        <f>IFERROR(VLOOKUP(B11,'Bosworth XC'!$A:$C,3,FALSE),"")</f>
        <v/>
      </c>
      <c r="I11" s="5" t="str">
        <f>IFERROR(VLOOKUP($B11,'Kibworth 6'!$A:$C,3,FALSE),"")</f>
        <v/>
      </c>
      <c r="J11" s="5">
        <f>IFERROR(VLOOKUP($B11,'Ivanhoe 20'!$A:$C,3,FALSE),"")</f>
        <v>20</v>
      </c>
      <c r="K11" s="5" t="str">
        <f>IFERROR(VLOOKUP($B11,'Run In Forest'!$A:$C,3,FALSE),"")</f>
        <v/>
      </c>
      <c r="L11" s="5" t="str">
        <f>IFERROR(VLOOKUP($B11,'Stilton 7'!$A:$C,3,FALSE),"")</f>
        <v/>
      </c>
      <c r="M11" s="5" t="str">
        <f>IFERROR(VLOOKUP($B11,'Uttoxeter HM'!$A:$C,3,FALSE),"")</f>
        <v/>
      </c>
      <c r="N11" s="5" t="str">
        <f>IFERROR(VLOOKUP($B11,'Bosworth HM'!$A:$C,3,FALSE),"")</f>
        <v/>
      </c>
      <c r="O11" s="5">
        <f>IFERROR(VLOOKUP($B11,'West End 8'!$A:$C,3,FALSE),"")</f>
        <v>22</v>
      </c>
      <c r="P11" s="5">
        <f>IFERROR(VLOOKUP($B11,'Swithland 6'!$A:$C,3,FALSE),"")</f>
        <v>23</v>
      </c>
      <c r="Q11" s="5">
        <f>IFERROR(VLOOKUP($B11,'Washlands Relays'!$A:$C,3,FALSE),"")</f>
        <v>15</v>
      </c>
      <c r="R11" s="5">
        <f>IFERROR(VLOOKUP($B11,'Tara Kinder 10K'!$A:$C,3,FALSE),"")</f>
        <v>26</v>
      </c>
      <c r="S11" s="5">
        <f>IFERROR(VLOOKUP($B11,'Worthington 6'!$A:$C,3,FALSE),"")</f>
        <v>27</v>
      </c>
      <c r="T11" s="5" t="str">
        <f>IFERROR(VLOOKUP($B11,'Joy Cann 5'!$A:$C,3,FALSE),"")</f>
        <v/>
      </c>
      <c r="U11" s="5" t="str">
        <f>IFERROR(VLOOKUP($B11,'Burton 10k'!$A:$C,3,FALSE),"")</f>
        <v/>
      </c>
      <c r="V11" s="5" t="str">
        <f>IFERROR(VLOOKUP($B11,'Rotherby 8'!$A:$C,3,FALSE),"")</f>
        <v/>
      </c>
      <c r="W11" s="5">
        <f>IFERROR(VLOOKUP($B11,'Lichfield 10k'!$A:$C,3,FALSE),"")</f>
        <v>28</v>
      </c>
      <c r="X11" s="5" t="str">
        <f>IFERROR(VLOOKUP($B11,'Adrian Smith'!$A:$C,3,FALSE),"")</f>
        <v/>
      </c>
      <c r="Y11" s="5" t="str">
        <f>IFERROR(VLOOKUP($B11,'Tamworth 5'!$A:$C,3,FALSE),"")</f>
        <v/>
      </c>
      <c r="Z11" s="31" t="str">
        <f>IFERROR(VLOOKUP($B11,'Bagworth XC'!$A:$C,3,FALSE),"")</f>
        <v/>
      </c>
      <c r="AA11" s="5" t="str">
        <f>IFERROR(VLOOKUP($B11,'Markfield 10k'!$A:$C,3,FALSE),"")</f>
        <v/>
      </c>
      <c r="AB11" s="5">
        <f>IFERROR(VLOOKUP($B11,'Shepshed 7'!$A:$C,3,FALSE),"")</f>
        <v>27</v>
      </c>
    </row>
    <row r="12" spans="1:28" x14ac:dyDescent="0.25">
      <c r="A12" s="42">
        <f ca="1">IFERROR(Table222[[#This Row],[Position]],"")</f>
        <v>10</v>
      </c>
      <c r="B12" s="18" t="s">
        <v>12</v>
      </c>
      <c r="C12" s="81">
        <f ca="1">IF(Table222[[#This Row],[Total races]]=0,0,(RANK(E12,$E$3:$E$63)+COUNTIF(E12:$E$57,E12)-1))</f>
        <v>10</v>
      </c>
      <c r="D12" s="5">
        <f>COUNTIF(F12:AB12,"&gt;=0")</f>
        <v>8</v>
      </c>
      <c r="E12" s="5">
        <f t="array" aca="1" ref="E12" ca="1">IF(Table222[[#This Row],[Total races]]&lt;11,SUM(Table222[[#This Row],[Derby 5k]:[Shepshed 7]]),SUM(LARGE(F12:AB12,ROW(INDIRECT("1:10")))))+Table222[[#This Row],[Total races]]*3</f>
        <v>211</v>
      </c>
      <c r="F12" s="5" t="str">
        <f>IFERROR(VLOOKUP(B12,'Derby 5K'!$M$4:$V$15,10,FALSE),"")</f>
        <v/>
      </c>
      <c r="G12" s="5">
        <f>IFERROR(VLOOKUP(B12,'Grace Dieu XC'!$A:$C,3,FALSE),"")</f>
        <v>25</v>
      </c>
      <c r="H12" s="5" t="str">
        <f>IFERROR(VLOOKUP(B12,'Bosworth XC'!$A:$C,3,FALSE),"")</f>
        <v/>
      </c>
      <c r="I12" s="5">
        <f>IFERROR(VLOOKUP($B12,'Kibworth 6'!$A:$C,3,FALSE),"")</f>
        <v>24</v>
      </c>
      <c r="J12" s="5" t="str">
        <f>IFERROR(VLOOKUP($B12,'Ivanhoe 20'!$A:$C,3,FALSE),"")</f>
        <v/>
      </c>
      <c r="K12" s="5" t="str">
        <f>IFERROR(VLOOKUP($B12,'Run In Forest'!$A:$C,3,FALSE),"")</f>
        <v/>
      </c>
      <c r="L12" s="5" t="str">
        <f>IFERROR(VLOOKUP($B12,'Stilton 7'!$A:$C,3,FALSE),"")</f>
        <v/>
      </c>
      <c r="M12" s="5" t="str">
        <f>IFERROR(VLOOKUP($B12,'Uttoxeter HM'!$A:$C,3,FALSE),"")</f>
        <v/>
      </c>
      <c r="N12" s="5" t="str">
        <f>IFERROR(VLOOKUP($B12,'Bosworth HM'!$A:$C,3,FALSE),"")</f>
        <v/>
      </c>
      <c r="O12" s="5">
        <f>IFERROR(VLOOKUP($B12,'West End 8'!$A:$C,3,FALSE),"")</f>
        <v>26</v>
      </c>
      <c r="P12" s="5">
        <f>IFERROR(VLOOKUP($B12,'Swithland 6'!$A:$C,3,FALSE),"")</f>
        <v>24</v>
      </c>
      <c r="Q12" s="5">
        <f>IFERROR(VLOOKUP($B12,'Washlands Relays'!$A:$C,3,FALSE),"")</f>
        <v>12</v>
      </c>
      <c r="R12" s="5" t="str">
        <f>IFERROR(VLOOKUP($B12,'Tara Kinder 10K'!$A:$C,3,FALSE),"")</f>
        <v/>
      </c>
      <c r="S12" s="5" t="str">
        <f>IFERROR(VLOOKUP($B12,'Worthington 6'!$A:$C,3,FALSE),"")</f>
        <v/>
      </c>
      <c r="T12" s="5">
        <f>IFERROR(VLOOKUP($B12,'Joy Cann 5'!$A:$C,3,FALSE),"")</f>
        <v>27</v>
      </c>
      <c r="U12" s="5" t="str">
        <f>IFERROR(VLOOKUP($B12,'Burton 10k'!$A:$C,3,FALSE),"")</f>
        <v/>
      </c>
      <c r="V12" s="5" t="str">
        <f>IFERROR(VLOOKUP($B12,'Rotherby 8'!$A:$C,3,FALSE),"")</f>
        <v/>
      </c>
      <c r="W12" s="5" t="str">
        <f>IFERROR(VLOOKUP($B12,'Lichfield 10k'!$A:$C,3,FALSE),"")</f>
        <v/>
      </c>
      <c r="X12" s="5" t="str">
        <f>IFERROR(VLOOKUP($B12,'Adrian Smith'!$A:$C,3,FALSE),"")</f>
        <v/>
      </c>
      <c r="Y12" s="5" t="str">
        <f>IFERROR(VLOOKUP($B12,'Tamworth 5'!$A:$C,3,FALSE),"")</f>
        <v/>
      </c>
      <c r="Z12" s="31">
        <f>IFERROR(VLOOKUP($B12,'Bagworth XC'!$A:$C,3,FALSE),"")</f>
        <v>21</v>
      </c>
      <c r="AA12" s="5">
        <f>IFERROR(VLOOKUP($B12,'Markfield 10k'!$A:$C,3,FALSE),"")</f>
        <v>28</v>
      </c>
      <c r="AB12" s="5" t="str">
        <f>IFERROR(VLOOKUP($B12,'Shepshed 7'!$A:$C,3,FALSE),"")</f>
        <v/>
      </c>
    </row>
    <row r="13" spans="1:28" x14ac:dyDescent="0.25">
      <c r="A13" s="42">
        <f ca="1">IFERROR(Table222[[#This Row],[Position]],"")</f>
        <v>11</v>
      </c>
      <c r="B13" s="18" t="s">
        <v>133</v>
      </c>
      <c r="C13" s="81">
        <f ca="1">IF(Table222[[#This Row],[Total races]]=0,0,(RANK(E13,$E$3:$E$63)+COUNTIF(E13:$E$57,E13)-1))</f>
        <v>11</v>
      </c>
      <c r="D13" s="5">
        <f>COUNTIF(F13:AB13,"&gt;=0")</f>
        <v>8</v>
      </c>
      <c r="E13" s="5">
        <f t="array" aca="1" ref="E13" ca="1">IF(Table222[[#This Row],[Total races]]&lt;11,SUM(Table222[[#This Row],[Derby 5k]:[Shepshed 7]]),SUM(LARGE(F13:AB13,ROW(INDIRECT("1:10")))))+Table222[[#This Row],[Total races]]*3</f>
        <v>186</v>
      </c>
      <c r="F13" s="5">
        <f>IFERROR(VLOOKUP(B13,'Derby 5K'!$M$4:$V$15,10,FALSE),"")</f>
        <v>28</v>
      </c>
      <c r="G13" s="5" t="str">
        <f>IFERROR(VLOOKUP(B13,'Grace Dieu XC'!$A:$C,3,FALSE),"")</f>
        <v/>
      </c>
      <c r="H13" s="5" t="str">
        <f>IFERROR(VLOOKUP(B13,'Bosworth XC'!$A:$C,3,FALSE),"")</f>
        <v/>
      </c>
      <c r="I13" s="5">
        <f>IFERROR(VLOOKUP($B13,'Kibworth 6'!$A:$C,3,FALSE),"")</f>
        <v>22</v>
      </c>
      <c r="J13" s="5" t="str">
        <f>IFERROR(VLOOKUP($B13,'Ivanhoe 20'!$A:$C,3,FALSE),"")</f>
        <v/>
      </c>
      <c r="K13" s="5" t="str">
        <f>IFERROR(VLOOKUP($B13,'Run In Forest'!$A:$C,3,FALSE),"")</f>
        <v/>
      </c>
      <c r="L13" s="5" t="str">
        <f>IFERROR(VLOOKUP($B13,'Stilton 7'!$A:$C,3,FALSE),"")</f>
        <v/>
      </c>
      <c r="M13" s="5" t="str">
        <f>IFERROR(VLOOKUP($B13,'Uttoxeter HM'!$A:$C,3,FALSE),"")</f>
        <v/>
      </c>
      <c r="N13" s="5" t="str">
        <f>IFERROR(VLOOKUP($B13,'Bosworth HM'!$A:$C,3,FALSE),"")</f>
        <v/>
      </c>
      <c r="O13" s="5">
        <f>IFERROR(VLOOKUP($B13,'West End 8'!$A:$C,3,FALSE),"")</f>
        <v>17</v>
      </c>
      <c r="P13" s="5" t="str">
        <f>IFERROR(VLOOKUP($B13,'Swithland 6'!$A:$C,3,FALSE),"")</f>
        <v/>
      </c>
      <c r="Q13" s="5">
        <f>IFERROR(VLOOKUP($B13,'Washlands Relays'!$A:$C,3,FALSE),"")</f>
        <v>0</v>
      </c>
      <c r="R13" s="5" t="str">
        <f>IFERROR(VLOOKUP($B13,'Tara Kinder 10K'!$A:$C,3,FALSE),"")</f>
        <v/>
      </c>
      <c r="S13" s="5">
        <f>IFERROR(VLOOKUP($B13,'Worthington 6'!$A:$C,3,FALSE),"")</f>
        <v>20</v>
      </c>
      <c r="T13" s="5">
        <f>IFERROR(VLOOKUP($B13,'Joy Cann 5'!$A:$C,3,FALSE),"")</f>
        <v>24</v>
      </c>
      <c r="U13" s="5" t="str">
        <f>IFERROR(VLOOKUP($B13,'Burton 10k'!$A:$C,3,FALSE),"")</f>
        <v/>
      </c>
      <c r="V13" s="5" t="str">
        <f>IFERROR(VLOOKUP($B13,'Rotherby 8'!$A:$C,3,FALSE),"")</f>
        <v/>
      </c>
      <c r="W13" s="5" t="str">
        <f>IFERROR(VLOOKUP($B13,'Lichfield 10k'!$A:$C,3,FALSE),"")</f>
        <v/>
      </c>
      <c r="X13" s="5" t="str">
        <f>IFERROR(VLOOKUP($B13,'Adrian Smith'!$A:$C,3,FALSE),"")</f>
        <v/>
      </c>
      <c r="Y13" s="5">
        <f>IFERROR(VLOOKUP($B13,'Tamworth 5'!$A:$C,3,FALSE),"")</f>
        <v>24</v>
      </c>
      <c r="Z13" s="31" t="str">
        <f>IFERROR(VLOOKUP($B13,'Bagworth XC'!$A:$C,3,FALSE),"")</f>
        <v/>
      </c>
      <c r="AA13" s="5">
        <f>IFERROR(VLOOKUP($B13,'Markfield 10k'!$A:$C,3,FALSE),"")</f>
        <v>27</v>
      </c>
      <c r="AB13" s="5" t="str">
        <f>IFERROR(VLOOKUP($B13,'Shepshed 7'!$A:$C,3,FALSE),"")</f>
        <v/>
      </c>
    </row>
    <row r="14" spans="1:28" x14ac:dyDescent="0.25">
      <c r="A14" s="42">
        <f ca="1">IFERROR(Table222[[#This Row],[Position]],"")</f>
        <v>12</v>
      </c>
      <c r="B14" s="18" t="s">
        <v>100</v>
      </c>
      <c r="C14" s="81">
        <f ca="1">IF(Table222[[#This Row],[Total races]]=0,0,(RANK(E14,$E$3:$E$63)+COUNTIF(E14:$E$57,E14)-1))</f>
        <v>12</v>
      </c>
      <c r="D14" s="5">
        <f>COUNTIF(F14:AB14,"&gt;=0")</f>
        <v>6</v>
      </c>
      <c r="E14" s="5">
        <f t="array" aca="1" ref="E14" ca="1">IF(Table222[[#This Row],[Total races]]&lt;11,SUM(Table222[[#This Row],[Derby 5k]:[Shepshed 7]]),SUM(LARGE(F14:AB14,ROW(INDIRECT("1:10")))))+Table222[[#This Row],[Total races]]*3</f>
        <v>184</v>
      </c>
      <c r="F14" s="5" t="str">
        <f>IFERROR(VLOOKUP(B14,'Derby 5K'!$M$4:$V$15,10,FALSE),"")</f>
        <v/>
      </c>
      <c r="G14" s="5">
        <f>IFERROR(VLOOKUP(B14,'Grace Dieu XC'!$A:$C,3,FALSE),"")</f>
        <v>29</v>
      </c>
      <c r="H14" s="5" t="str">
        <f>IFERROR(VLOOKUP(B14,'Bosworth XC'!$A:$C,3,FALSE),"")</f>
        <v/>
      </c>
      <c r="I14" s="5">
        <f>IFERROR(VLOOKUP($B14,'Kibworth 6'!$A:$C,3,FALSE),"")</f>
        <v>30</v>
      </c>
      <c r="J14" s="5">
        <f>IFERROR(VLOOKUP($B14,'Ivanhoe 20'!$A:$C,3,FALSE),"")</f>
        <v>27</v>
      </c>
      <c r="K14" s="5">
        <f>IFERROR(VLOOKUP($B14,'Run In Forest'!$A:$C,3,FALSE),"")</f>
        <v>28</v>
      </c>
      <c r="L14" s="5" t="str">
        <f>IFERROR(VLOOKUP($B14,'Stilton 7'!$A:$C,3,FALSE),"")</f>
        <v/>
      </c>
      <c r="M14" s="5" t="str">
        <f>IFERROR(VLOOKUP($B14,'Uttoxeter HM'!$A:$C,3,FALSE),"")</f>
        <v/>
      </c>
      <c r="N14" s="5" t="str">
        <f>IFERROR(VLOOKUP($B14,'Bosworth HM'!$A:$C,3,FALSE),"")</f>
        <v/>
      </c>
      <c r="O14" s="5">
        <f>IFERROR(VLOOKUP($B14,'West End 8'!$A:$C,3,FALSE),"")</f>
        <v>25</v>
      </c>
      <c r="P14" s="5" t="str">
        <f>IFERROR(VLOOKUP($B14,'Swithland 6'!$A:$C,3,FALSE),"")</f>
        <v/>
      </c>
      <c r="Q14" s="5">
        <f>IFERROR(VLOOKUP($B14,'Washlands Relays'!$A:$C,3,FALSE),"")</f>
        <v>27</v>
      </c>
      <c r="R14" s="5" t="str">
        <f>IFERROR(VLOOKUP($B14,'Tara Kinder 10K'!$A:$C,3,FALSE),"")</f>
        <v/>
      </c>
      <c r="S14" s="5" t="str">
        <f>IFERROR(VLOOKUP($B14,'Worthington 6'!$A:$C,3,FALSE),"")</f>
        <v/>
      </c>
      <c r="T14" s="5" t="str">
        <f>IFERROR(VLOOKUP($B14,'Joy Cann 5'!$A:$C,3,FALSE),"")</f>
        <v/>
      </c>
      <c r="U14" s="5" t="str">
        <f>IFERROR(VLOOKUP($B14,'Burton 10k'!$A:$C,3,FALSE),"")</f>
        <v/>
      </c>
      <c r="V14" s="5" t="str">
        <f>IFERROR(VLOOKUP($B14,'Rotherby 8'!$A:$C,3,FALSE),"")</f>
        <v/>
      </c>
      <c r="W14" s="5" t="str">
        <f>IFERROR(VLOOKUP($B14,'Lichfield 10k'!$A:$C,3,FALSE),"")</f>
        <v/>
      </c>
      <c r="X14" s="5" t="str">
        <f>IFERROR(VLOOKUP($B14,'Adrian Smith'!$A:$C,3,FALSE),"")</f>
        <v/>
      </c>
      <c r="Y14" s="5" t="str">
        <f>IFERROR(VLOOKUP($B14,'Tamworth 5'!$A:$C,3,FALSE),"")</f>
        <v/>
      </c>
      <c r="Z14" s="31" t="str">
        <f>IFERROR(VLOOKUP($B14,'Bagworth XC'!$A:$C,3,FALSE),"")</f>
        <v/>
      </c>
      <c r="AA14" s="5" t="str">
        <f>IFERROR(VLOOKUP($B14,'Markfield 10k'!$A:$C,3,FALSE),"")</f>
        <v/>
      </c>
      <c r="AB14" s="5" t="str">
        <f>IFERROR(VLOOKUP($B14,'Shepshed 7'!$A:$C,3,FALSE),"")</f>
        <v/>
      </c>
    </row>
    <row r="15" spans="1:28" x14ac:dyDescent="0.25">
      <c r="A15" s="42">
        <f ca="1">IFERROR(Table222[[#This Row],[Position]],"")</f>
        <v>13</v>
      </c>
      <c r="B15" s="18" t="s">
        <v>16</v>
      </c>
      <c r="C15" s="81">
        <f ca="1">IF(Table222[[#This Row],[Total races]]=0,0,(RANK(E15,$E$3:$E$63)+COUNTIF(E15:$E$57,E15)-1))</f>
        <v>13</v>
      </c>
      <c r="D15" s="5">
        <f>COUNTIF(F15:AB15,"&gt;=0")</f>
        <v>7</v>
      </c>
      <c r="E15" s="5">
        <f t="array" aca="1" ref="E15" ca="1">IF(Table222[[#This Row],[Total races]]&lt;11,SUM(Table222[[#This Row],[Derby 5k]:[Shepshed 7]]),SUM(LARGE(F15:AB15,ROW(INDIRECT("1:10")))))+Table222[[#This Row],[Total races]]*3</f>
        <v>179</v>
      </c>
      <c r="F15" s="5" t="str">
        <f>IFERROR(VLOOKUP(B15,'Derby 5K'!$M$4:$V$15,10,FALSE),"")</f>
        <v/>
      </c>
      <c r="G15" s="5" t="str">
        <f>IFERROR(VLOOKUP(B15,'Grace Dieu XC'!$A:$C,3,FALSE),"")</f>
        <v/>
      </c>
      <c r="H15" s="5" t="str">
        <f>IFERROR(VLOOKUP(B15,'Bosworth XC'!$A:$C,3,FALSE),"")</f>
        <v/>
      </c>
      <c r="I15" s="5">
        <f>IFERROR(VLOOKUP($B15,'Kibworth 6'!$A:$C,3,FALSE),"")</f>
        <v>21</v>
      </c>
      <c r="J15" s="5" t="str">
        <f>IFERROR(VLOOKUP($B15,'Ivanhoe 20'!$A:$C,3,FALSE),"")</f>
        <v/>
      </c>
      <c r="K15" s="5" t="str">
        <f>IFERROR(VLOOKUP($B15,'Run In Forest'!$A:$C,3,FALSE),"")</f>
        <v/>
      </c>
      <c r="L15" s="5">
        <f>IFERROR(VLOOKUP($B15,'Stilton 7'!$A:$C,3,FALSE),"")</f>
        <v>26</v>
      </c>
      <c r="M15" s="5" t="str">
        <f>IFERROR(VLOOKUP($B15,'Uttoxeter HM'!$A:$C,3,FALSE),"")</f>
        <v/>
      </c>
      <c r="N15" s="5" t="str">
        <f>IFERROR(VLOOKUP($B15,'Bosworth HM'!$A:$C,3,FALSE),"")</f>
        <v/>
      </c>
      <c r="O15" s="5">
        <f>IFERROR(VLOOKUP($B15,'West End 8'!$A:$C,3,FALSE),"")</f>
        <v>16</v>
      </c>
      <c r="P15" s="5">
        <f>IFERROR(VLOOKUP($B15,'Swithland 6'!$A:$C,3,FALSE),"")</f>
        <v>19</v>
      </c>
      <c r="Q15" s="5" t="str">
        <f>IFERROR(VLOOKUP($B15,'Washlands Relays'!$A:$C,3,FALSE),"")</f>
        <v/>
      </c>
      <c r="R15" s="5" t="str">
        <f>IFERROR(VLOOKUP($B15,'Tara Kinder 10K'!$A:$C,3,FALSE),"")</f>
        <v/>
      </c>
      <c r="S15" s="5" t="str">
        <f>IFERROR(VLOOKUP($B15,'Worthington 6'!$A:$C,3,FALSE),"")</f>
        <v/>
      </c>
      <c r="T15" s="5">
        <f>IFERROR(VLOOKUP($B15,'Joy Cann 5'!$A:$C,3,FALSE),"")</f>
        <v>23</v>
      </c>
      <c r="U15" s="5" t="str">
        <f>IFERROR(VLOOKUP($B15,'Burton 10k'!$A:$C,3,FALSE),"")</f>
        <v/>
      </c>
      <c r="V15" s="5">
        <f>IFERROR(VLOOKUP($B15,'Rotherby 8'!$A:$C,3,FALSE),"")</f>
        <v>28</v>
      </c>
      <c r="W15" s="5" t="str">
        <f>IFERROR(VLOOKUP($B15,'Lichfield 10k'!$A:$C,3,FALSE),"")</f>
        <v/>
      </c>
      <c r="X15" s="5" t="str">
        <f>IFERROR(VLOOKUP($B15,'Adrian Smith'!$A:$C,3,FALSE),"")</f>
        <v/>
      </c>
      <c r="Y15" s="5" t="str">
        <f>IFERROR(VLOOKUP($B15,'Tamworth 5'!$A:$C,3,FALSE),"")</f>
        <v/>
      </c>
      <c r="Z15" s="31" t="str">
        <f>IFERROR(VLOOKUP($B15,'Bagworth XC'!$A:$C,3,FALSE),"")</f>
        <v/>
      </c>
      <c r="AA15" s="5">
        <f>IFERROR(VLOOKUP($B15,'Markfield 10k'!$A:$C,3,FALSE),"")</f>
        <v>25</v>
      </c>
      <c r="AB15" s="5" t="str">
        <f>IFERROR(VLOOKUP($B15,'Shepshed 7'!$A:$C,3,FALSE),"")</f>
        <v/>
      </c>
    </row>
    <row r="16" spans="1:28" x14ac:dyDescent="0.25">
      <c r="A16" s="42">
        <f ca="1">IFERROR(Table222[[#This Row],[Position]],"")</f>
        <v>14</v>
      </c>
      <c r="B16" s="18" t="s">
        <v>50</v>
      </c>
      <c r="C16" s="81">
        <f ca="1">IF(Table222[[#This Row],[Total races]]=0,0,(RANK(E16,$E$3:$E$63)+COUNTIF(E16:$E$57,E16)-1))</f>
        <v>14</v>
      </c>
      <c r="D16" s="5">
        <f>COUNTIF(F16:AB16,"&gt;=0")</f>
        <v>7</v>
      </c>
      <c r="E16" s="5">
        <f t="array" aca="1" ref="E16" ca="1">IF(Table222[[#This Row],[Total races]]&lt;11,SUM(Table222[[#This Row],[Derby 5k]:[Shepshed 7]]),SUM(LARGE(F16:AB16,ROW(INDIRECT("1:10")))))+Table222[[#This Row],[Total races]]*3</f>
        <v>175</v>
      </c>
      <c r="F16" s="5" t="str">
        <f>IFERROR(VLOOKUP(B16,'Derby 5K'!$M$4:$V$15,10,FALSE),"")</f>
        <v/>
      </c>
      <c r="G16" s="5" t="str">
        <f>IFERROR(VLOOKUP(B16,'Grace Dieu XC'!$A:$C,3,FALSE),"")</f>
        <v/>
      </c>
      <c r="H16" s="5" t="str">
        <f>IFERROR(VLOOKUP(B16,'Bosworth XC'!$A:$C,3,FALSE),"")</f>
        <v/>
      </c>
      <c r="I16" s="5">
        <f>IFERROR(VLOOKUP($B16,'Kibworth 6'!$A:$C,3,FALSE),"")</f>
        <v>26</v>
      </c>
      <c r="J16" s="5">
        <f>IFERROR(VLOOKUP($B16,'Ivanhoe 20'!$A:$C,3,FALSE),"")</f>
        <v>22</v>
      </c>
      <c r="K16" s="5" t="str">
        <f>IFERROR(VLOOKUP($B16,'Run In Forest'!$A:$C,3,FALSE),"")</f>
        <v/>
      </c>
      <c r="L16" s="5" t="str">
        <f>IFERROR(VLOOKUP($B16,'Stilton 7'!$A:$C,3,FALSE),"")</f>
        <v/>
      </c>
      <c r="M16" s="5" t="str">
        <f>IFERROR(VLOOKUP($B16,'Uttoxeter HM'!$A:$C,3,FALSE),"")</f>
        <v/>
      </c>
      <c r="N16" s="5">
        <f>IFERROR(VLOOKUP($B16,'Bosworth HM'!$A:$C,3,FALSE),"")</f>
        <v>24</v>
      </c>
      <c r="O16" s="5">
        <f>IFERROR(VLOOKUP($B16,'West End 8'!$A:$C,3,FALSE),"")</f>
        <v>21</v>
      </c>
      <c r="P16" s="5" t="str">
        <f>IFERROR(VLOOKUP($B16,'Swithland 6'!$A:$C,3,FALSE),"")</f>
        <v/>
      </c>
      <c r="Q16" s="5">
        <f>IFERROR(VLOOKUP($B16,'Washlands Relays'!$A:$C,3,FALSE),"")</f>
        <v>11</v>
      </c>
      <c r="R16" s="5" t="str">
        <f>IFERROR(VLOOKUP($B16,'Tara Kinder 10K'!$A:$C,3,FALSE),"")</f>
        <v/>
      </c>
      <c r="S16" s="5">
        <f>IFERROR(VLOOKUP($B16,'Worthington 6'!$A:$C,3,FALSE),"")</f>
        <v>24</v>
      </c>
      <c r="T16" s="5" t="str">
        <f>IFERROR(VLOOKUP($B16,'Joy Cann 5'!$A:$C,3,FALSE),"")</f>
        <v/>
      </c>
      <c r="U16" s="5" t="str">
        <f>IFERROR(VLOOKUP($B16,'Burton 10k'!$A:$C,3,FALSE),"")</f>
        <v/>
      </c>
      <c r="V16" s="5" t="str">
        <f>IFERROR(VLOOKUP($B16,'Rotherby 8'!$A:$C,3,FALSE),"")</f>
        <v/>
      </c>
      <c r="W16" s="5" t="str">
        <f>IFERROR(VLOOKUP($B16,'Lichfield 10k'!$A:$C,3,FALSE),"")</f>
        <v/>
      </c>
      <c r="X16" s="5">
        <f>IFERROR(VLOOKUP($B16,'Adrian Smith'!$A:$C,3,FALSE),"")</f>
        <v>26</v>
      </c>
      <c r="Y16" s="5" t="str">
        <f>IFERROR(VLOOKUP($B16,'Tamworth 5'!$A:$C,3,FALSE),"")</f>
        <v/>
      </c>
      <c r="Z16" s="31" t="str">
        <f>IFERROR(VLOOKUP($B16,'Bagworth XC'!$A:$C,3,FALSE),"")</f>
        <v/>
      </c>
      <c r="AA16" s="5" t="str">
        <f>IFERROR(VLOOKUP($B16,'Markfield 10k'!$A:$C,3,FALSE),"")</f>
        <v/>
      </c>
      <c r="AB16" s="5" t="str">
        <f>IFERROR(VLOOKUP($B16,'Shepshed 7'!$A:$C,3,FALSE),"")</f>
        <v/>
      </c>
    </row>
    <row r="17" spans="1:28" x14ac:dyDescent="0.25">
      <c r="A17" s="42">
        <f ca="1">IFERROR(Table222[[#This Row],[Position]],"")</f>
        <v>15</v>
      </c>
      <c r="B17" s="18" t="s">
        <v>240</v>
      </c>
      <c r="C17" s="81">
        <f ca="1">IF(Table222[[#This Row],[Total races]]=0,0,(RANK(E17,$E$3:$E$63)+COUNTIF(E17:$E$57,E17)-1))</f>
        <v>15</v>
      </c>
      <c r="D17" s="5">
        <f>COUNTIF(F17:AB17,"&gt;=0")</f>
        <v>7</v>
      </c>
      <c r="E17" s="5">
        <f t="array" aca="1" ref="E17" ca="1">IF(Table222[[#This Row],[Total races]]&lt;11,SUM(Table222[[#This Row],[Derby 5k]:[Shepshed 7]]),SUM(LARGE(F17:AB17,ROW(INDIRECT("1:10")))))+Table222[[#This Row],[Total races]]*3</f>
        <v>166</v>
      </c>
      <c r="F17" s="5" t="str">
        <f>IFERROR(VLOOKUP(B17,'Derby 5K'!$M$4:$V$15,10,FALSE),"")</f>
        <v/>
      </c>
      <c r="G17" s="5" t="str">
        <f>IFERROR(VLOOKUP(B17,'Grace Dieu XC'!$A:$C,3,FALSE),"")</f>
        <v/>
      </c>
      <c r="H17" s="5" t="str">
        <f>IFERROR(VLOOKUP(B17,'Bosworth XC'!$A:$C,3,FALSE),"")</f>
        <v/>
      </c>
      <c r="I17" s="5" t="str">
        <f>IFERROR(VLOOKUP($B17,'Kibworth 6'!$A:$C,3,FALSE),"")</f>
        <v/>
      </c>
      <c r="J17" s="5" t="str">
        <f>IFERROR(VLOOKUP($B17,'Ivanhoe 20'!$A:$C,3,FALSE),"")</f>
        <v/>
      </c>
      <c r="K17" s="5">
        <f>IFERROR(VLOOKUP($B17,'Run In Forest'!$A:$C,3,FALSE),"")</f>
        <v>21</v>
      </c>
      <c r="L17" s="5" t="str">
        <f>IFERROR(VLOOKUP($B17,'Stilton 7'!$A:$C,3,FALSE),"")</f>
        <v/>
      </c>
      <c r="M17" s="5" t="str">
        <f>IFERROR(VLOOKUP($B17,'Uttoxeter HM'!$A:$C,3,FALSE),"")</f>
        <v/>
      </c>
      <c r="N17" s="5" t="str">
        <f>IFERROR(VLOOKUP($B17,'Bosworth HM'!$A:$C,3,FALSE),"")</f>
        <v/>
      </c>
      <c r="O17" s="5">
        <f>IFERROR(VLOOKUP($B17,'West End 8'!$A:$C,3,FALSE),"")</f>
        <v>19</v>
      </c>
      <c r="P17" s="5" t="str">
        <f>IFERROR(VLOOKUP($B17,'Swithland 6'!$A:$C,3,FALSE),"")</f>
        <v/>
      </c>
      <c r="Q17" s="5">
        <f>IFERROR(VLOOKUP($B17,'Washlands Relays'!$A:$C,3,FALSE),"")</f>
        <v>5</v>
      </c>
      <c r="R17" s="5">
        <f>IFERROR(VLOOKUP($B17,'Tara Kinder 10K'!$A:$C,3,FALSE),"")</f>
        <v>24</v>
      </c>
      <c r="S17" s="5">
        <f>IFERROR(VLOOKUP($B17,'Worthington 6'!$A:$C,3,FALSE),"")</f>
        <v>21</v>
      </c>
      <c r="T17" s="5" t="str">
        <f>IFERROR(VLOOKUP($B17,'Joy Cann 5'!$A:$C,3,FALSE),"")</f>
        <v/>
      </c>
      <c r="U17" s="5" t="str">
        <f>IFERROR(VLOOKUP($B17,'Burton 10k'!$A:$C,3,FALSE),"")</f>
        <v/>
      </c>
      <c r="V17" s="5">
        <f>IFERROR(VLOOKUP($B17,'Rotherby 8'!$A:$C,3,FALSE),"")</f>
        <v>29</v>
      </c>
      <c r="W17" s="5">
        <f>IFERROR(VLOOKUP($B17,'Lichfield 10k'!$A:$C,3,FALSE),"")</f>
        <v>26</v>
      </c>
      <c r="X17" s="5" t="str">
        <f>IFERROR(VLOOKUP($B17,'Adrian Smith'!$A:$C,3,FALSE),"")</f>
        <v/>
      </c>
      <c r="Y17" s="5" t="str">
        <f>IFERROR(VLOOKUP($B17,'Tamworth 5'!$A:$C,3,FALSE),"")</f>
        <v/>
      </c>
      <c r="Z17" s="31" t="str">
        <f>IFERROR(VLOOKUP($B17,'Bagworth XC'!$A:$C,3,FALSE),"")</f>
        <v/>
      </c>
      <c r="AA17" s="5" t="str">
        <f>IFERROR(VLOOKUP($B17,'Markfield 10k'!$A:$C,3,FALSE),"")</f>
        <v/>
      </c>
      <c r="AB17" s="5" t="str">
        <f>IFERROR(VLOOKUP($B17,'Shepshed 7'!$A:$C,3,FALSE),"")</f>
        <v/>
      </c>
    </row>
    <row r="18" spans="1:28" x14ac:dyDescent="0.25">
      <c r="A18" s="42">
        <f ca="1">IFERROR(Table222[[#This Row],[Position]],"")</f>
        <v>16</v>
      </c>
      <c r="B18" s="18" t="s">
        <v>75</v>
      </c>
      <c r="C18" s="81">
        <f ca="1">IF(Table222[[#This Row],[Total races]]=0,0,(RANK(E18,$E$3:$E$63)+COUNTIF(E18:$E$57,E18)-1))</f>
        <v>16</v>
      </c>
      <c r="D18" s="5">
        <f>COUNTIF(F18:AB18,"&gt;=0")</f>
        <v>5</v>
      </c>
      <c r="E18" s="5">
        <f t="array" aca="1" ref="E18" ca="1">IF(Table222[[#This Row],[Total races]]&lt;11,SUM(Table222[[#This Row],[Derby 5k]:[Shepshed 7]]),SUM(LARGE(F18:AB18,ROW(INDIRECT("1:10")))))+Table222[[#This Row],[Total races]]*3</f>
        <v>139</v>
      </c>
      <c r="F18" s="5" t="str">
        <f>IFERROR(VLOOKUP(B18,'Derby 5K'!$M$4:$V$15,10,FALSE),"")</f>
        <v/>
      </c>
      <c r="G18" s="5">
        <f>IFERROR(VLOOKUP(B18,'Grace Dieu XC'!$A:$C,3,FALSE),"")</f>
        <v>26</v>
      </c>
      <c r="H18" s="5" t="str">
        <f>IFERROR(VLOOKUP(B18,'Bosworth XC'!$A:$C,3,FALSE),"")</f>
        <v/>
      </c>
      <c r="I18" s="5">
        <f>IFERROR(VLOOKUP($B18,'Kibworth 6'!$A:$C,3,FALSE),"")</f>
        <v>25</v>
      </c>
      <c r="J18" s="5" t="str">
        <f>IFERROR(VLOOKUP($B18,'Ivanhoe 20'!$A:$C,3,FALSE),"")</f>
        <v/>
      </c>
      <c r="K18" s="5">
        <f>IFERROR(VLOOKUP($B18,'Run In Forest'!$A:$C,3,FALSE),"")</f>
        <v>24</v>
      </c>
      <c r="L18" s="5" t="str">
        <f>IFERROR(VLOOKUP($B18,'Stilton 7'!$A:$C,3,FALSE),"")</f>
        <v/>
      </c>
      <c r="M18" s="5" t="str">
        <f>IFERROR(VLOOKUP($B18,'Uttoxeter HM'!$A:$C,3,FALSE),"")</f>
        <v/>
      </c>
      <c r="N18" s="5">
        <f>IFERROR(VLOOKUP($B18,'Bosworth HM'!$A:$C,3,FALSE),"")</f>
        <v>25</v>
      </c>
      <c r="O18" s="5">
        <f>IFERROR(VLOOKUP($B18,'West End 8'!$A:$C,3,FALSE),"")</f>
        <v>24</v>
      </c>
      <c r="P18" s="5" t="str">
        <f>IFERROR(VLOOKUP($B18,'Swithland 6'!$A:$C,3,FALSE),"")</f>
        <v/>
      </c>
      <c r="Q18" s="5" t="str">
        <f>IFERROR(VLOOKUP($B18,'Washlands Relays'!$A:$C,3,FALSE),"")</f>
        <v/>
      </c>
      <c r="R18" s="5" t="str">
        <f>IFERROR(VLOOKUP($B18,'Tara Kinder 10K'!$A:$C,3,FALSE),"")</f>
        <v/>
      </c>
      <c r="S18" s="5" t="str">
        <f>IFERROR(VLOOKUP($B18,'Worthington 6'!$A:$C,3,FALSE),"")</f>
        <v/>
      </c>
      <c r="T18" s="5" t="str">
        <f>IFERROR(VLOOKUP($B18,'Joy Cann 5'!$A:$C,3,FALSE),"")</f>
        <v/>
      </c>
      <c r="U18" s="5" t="str">
        <f>IFERROR(VLOOKUP($B18,'Burton 10k'!$A:$C,3,FALSE),"")</f>
        <v/>
      </c>
      <c r="V18" s="5" t="str">
        <f>IFERROR(VLOOKUP($B18,'Rotherby 8'!$A:$C,3,FALSE),"")</f>
        <v/>
      </c>
      <c r="W18" s="5" t="str">
        <f>IFERROR(VLOOKUP($B18,'Lichfield 10k'!$A:$C,3,FALSE),"")</f>
        <v/>
      </c>
      <c r="X18" s="5" t="str">
        <f>IFERROR(VLOOKUP($B18,'Adrian Smith'!$A:$C,3,FALSE),"")</f>
        <v/>
      </c>
      <c r="Y18" s="5" t="str">
        <f>IFERROR(VLOOKUP($B18,'Tamworth 5'!$A:$C,3,FALSE),"")</f>
        <v/>
      </c>
      <c r="Z18" s="31" t="str">
        <f>IFERROR(VLOOKUP($B18,'Bagworth XC'!$A:$C,3,FALSE),"")</f>
        <v/>
      </c>
      <c r="AA18" s="5" t="str">
        <f>IFERROR(VLOOKUP($B18,'Markfield 10k'!$A:$C,3,FALSE),"")</f>
        <v/>
      </c>
      <c r="AB18" s="5" t="str">
        <f>IFERROR(VLOOKUP($B18,'Shepshed 7'!$A:$C,3,FALSE),"")</f>
        <v/>
      </c>
    </row>
    <row r="19" spans="1:28" x14ac:dyDescent="0.25">
      <c r="A19" s="42">
        <f ca="1">IFERROR(Table222[[#This Row],[Position]],"")</f>
        <v>17</v>
      </c>
      <c r="B19" s="18" t="s">
        <v>15</v>
      </c>
      <c r="C19" s="81">
        <f ca="1">IF(Table222[[#This Row],[Total races]]=0,0,(RANK(E19,$E$3:$E$63)+COUNTIF(E19:$E$57,E19)-1))</f>
        <v>17</v>
      </c>
      <c r="D19" s="5">
        <f>COUNTIF(F19:AB19,"&gt;=0")</f>
        <v>5</v>
      </c>
      <c r="E19" s="5">
        <f t="array" aca="1" ref="E19" ca="1">IF(Table222[[#This Row],[Total races]]&lt;11,SUM(Table222[[#This Row],[Derby 5k]:[Shepshed 7]]),SUM(LARGE(F19:AB19,ROW(INDIRECT("1:10")))))+Table222[[#This Row],[Total races]]*3</f>
        <v>121</v>
      </c>
      <c r="F19" s="5" t="str">
        <f>IFERROR(VLOOKUP(B19,'Derby 5K'!$M$4:$V$15,10,FALSE),"")</f>
        <v/>
      </c>
      <c r="G19" s="5">
        <f>IFERROR(VLOOKUP(B19,'Grace Dieu XC'!$A:$C,3,FALSE),"")</f>
        <v>23</v>
      </c>
      <c r="H19" s="5" t="str">
        <f>IFERROR(VLOOKUP(B19,'Bosworth XC'!$A:$C,3,FALSE),"")</f>
        <v/>
      </c>
      <c r="I19" s="5" t="str">
        <f>IFERROR(VLOOKUP($B19,'Kibworth 6'!$A:$C,3,FALSE),"")</f>
        <v/>
      </c>
      <c r="J19" s="5" t="str">
        <f>IFERROR(VLOOKUP($B19,'Ivanhoe 20'!$A:$C,3,FALSE),"")</f>
        <v/>
      </c>
      <c r="K19" s="5" t="str">
        <f>IFERROR(VLOOKUP($B19,'Run In Forest'!$A:$C,3,FALSE),"")</f>
        <v/>
      </c>
      <c r="L19" s="5" t="str">
        <f>IFERROR(VLOOKUP($B19,'Stilton 7'!$A:$C,3,FALSE),"")</f>
        <v/>
      </c>
      <c r="M19" s="5" t="str">
        <f>IFERROR(VLOOKUP($B19,'Uttoxeter HM'!$A:$C,3,FALSE),"")</f>
        <v/>
      </c>
      <c r="N19" s="5" t="str">
        <f>IFERROR(VLOOKUP($B19,'Bosworth HM'!$A:$C,3,FALSE),"")</f>
        <v/>
      </c>
      <c r="O19" s="5" t="str">
        <f>IFERROR(VLOOKUP($B19,'West End 8'!$A:$C,3,FALSE),"")</f>
        <v/>
      </c>
      <c r="P19" s="5">
        <f>IFERROR(VLOOKUP($B19,'Swithland 6'!$A:$C,3,FALSE),"")</f>
        <v>20</v>
      </c>
      <c r="Q19" s="5" t="str">
        <f>IFERROR(VLOOKUP($B19,'Washlands Relays'!$A:$C,3,FALSE),"")</f>
        <v/>
      </c>
      <c r="R19" s="5" t="str">
        <f>IFERROR(VLOOKUP($B19,'Tara Kinder 10K'!$A:$C,3,FALSE),"")</f>
        <v/>
      </c>
      <c r="S19" s="5" t="str">
        <f>IFERROR(VLOOKUP($B19,'Worthington 6'!$A:$C,3,FALSE),"")</f>
        <v/>
      </c>
      <c r="T19" s="5" t="str">
        <f>IFERROR(VLOOKUP($B19,'Joy Cann 5'!$A:$C,3,FALSE),"")</f>
        <v/>
      </c>
      <c r="U19" s="5" t="str">
        <f>IFERROR(VLOOKUP($B19,'Burton 10k'!$A:$C,3,FALSE),"")</f>
        <v/>
      </c>
      <c r="V19" s="5" t="str">
        <f>IFERROR(VLOOKUP($B19,'Rotherby 8'!$A:$C,3,FALSE),"")</f>
        <v/>
      </c>
      <c r="W19" s="5" t="str">
        <f>IFERROR(VLOOKUP($B19,'Lichfield 10k'!$A:$C,3,FALSE),"")</f>
        <v/>
      </c>
      <c r="X19" s="5" t="str">
        <f>IFERROR(VLOOKUP($B19,'Adrian Smith'!$A:$C,3,FALSE),"")</f>
        <v/>
      </c>
      <c r="Y19" s="5">
        <f>IFERROR(VLOOKUP($B19,'Tamworth 5'!$A:$C,3,FALSE),"")</f>
        <v>21</v>
      </c>
      <c r="Z19" s="31">
        <f>IFERROR(VLOOKUP($B19,'Bagworth XC'!$A:$C,3,FALSE),"")</f>
        <v>18</v>
      </c>
      <c r="AA19" s="5" t="str">
        <f>IFERROR(VLOOKUP($B19,'Markfield 10k'!$A:$C,3,FALSE),"")</f>
        <v/>
      </c>
      <c r="AB19" s="5">
        <f>IFERROR(VLOOKUP($B19,'Shepshed 7'!$A:$C,3,FALSE),"")</f>
        <v>24</v>
      </c>
    </row>
    <row r="20" spans="1:28" x14ac:dyDescent="0.25">
      <c r="A20" s="42">
        <f ca="1">IFERROR(Table222[[#This Row],[Position]],"")</f>
        <v>18</v>
      </c>
      <c r="B20" s="18" t="s">
        <v>65</v>
      </c>
      <c r="C20" s="81">
        <f ca="1">IF(Table222[[#This Row],[Total races]]=0,0,(RANK(E20,$E$3:$E$63)+COUNTIF(E20:$E$57,E20)-1))</f>
        <v>18</v>
      </c>
      <c r="D20" s="5">
        <f>COUNTIF(F20:AB20,"&gt;=0")</f>
        <v>4</v>
      </c>
      <c r="E20" s="5">
        <f t="array" aca="1" ref="E20" ca="1">IF(Table222[[#This Row],[Total races]]&lt;11,SUM(Table222[[#This Row],[Derby 5k]:[Shepshed 7]]),SUM(LARGE(F20:AB20,ROW(INDIRECT("1:10")))))+Table222[[#This Row],[Total races]]*3</f>
        <v>114</v>
      </c>
      <c r="F20" s="5" t="str">
        <f>IFERROR(VLOOKUP(B20,'Derby 5K'!$M$4:$V$15,10,FALSE),"")</f>
        <v/>
      </c>
      <c r="G20" s="5">
        <f>IFERROR(VLOOKUP(B20,'Grace Dieu XC'!$A:$C,3,FALSE),"")</f>
        <v>30</v>
      </c>
      <c r="H20" s="5">
        <f>IFERROR(VLOOKUP(B20,'Bosworth XC'!$A:$C,3,FALSE),"")</f>
        <v>30</v>
      </c>
      <c r="I20" s="5" t="str">
        <f>IFERROR(VLOOKUP($B20,'Kibworth 6'!$A:$C,3,FALSE),"")</f>
        <v/>
      </c>
      <c r="J20" s="5">
        <f>IFERROR(VLOOKUP($B20,'Ivanhoe 20'!$A:$C,3,FALSE),"")</f>
        <v>24</v>
      </c>
      <c r="K20" s="5" t="str">
        <f>IFERROR(VLOOKUP($B20,'Run In Forest'!$A:$C,3,FALSE),"")</f>
        <v/>
      </c>
      <c r="L20" s="5" t="str">
        <f>IFERROR(VLOOKUP($B20,'Stilton 7'!$A:$C,3,FALSE),"")</f>
        <v/>
      </c>
      <c r="M20" s="5" t="str">
        <f>IFERROR(VLOOKUP($B20,'Uttoxeter HM'!$A:$C,3,FALSE),"")</f>
        <v/>
      </c>
      <c r="N20" s="5" t="str">
        <f>IFERROR(VLOOKUP($B20,'Bosworth HM'!$A:$C,3,FALSE),"")</f>
        <v/>
      </c>
      <c r="O20" s="5" t="str">
        <f>IFERROR(VLOOKUP($B20,'West End 8'!$A:$C,3,FALSE),"")</f>
        <v/>
      </c>
      <c r="P20" s="5" t="str">
        <f>IFERROR(VLOOKUP($B20,'Swithland 6'!$A:$C,3,FALSE),"")</f>
        <v/>
      </c>
      <c r="Q20" s="5">
        <f>IFERROR(VLOOKUP($B20,'Washlands Relays'!$A:$C,3,FALSE),"")</f>
        <v>18</v>
      </c>
      <c r="R20" s="5" t="str">
        <f>IFERROR(VLOOKUP($B20,'Tara Kinder 10K'!$A:$C,3,FALSE),"")</f>
        <v/>
      </c>
      <c r="S20" s="5" t="str">
        <f>IFERROR(VLOOKUP($B20,'Worthington 6'!$A:$C,3,FALSE),"")</f>
        <v/>
      </c>
      <c r="T20" s="5" t="str">
        <f>IFERROR(VLOOKUP($B20,'Joy Cann 5'!$A:$C,3,FALSE),"")</f>
        <v/>
      </c>
      <c r="U20" s="5" t="str">
        <f>IFERROR(VLOOKUP($B20,'Burton 10k'!$A:$C,3,FALSE),"")</f>
        <v/>
      </c>
      <c r="V20" s="5" t="str">
        <f>IFERROR(VLOOKUP($B20,'Rotherby 8'!$A:$C,3,FALSE),"")</f>
        <v/>
      </c>
      <c r="W20" s="5" t="str">
        <f>IFERROR(VLOOKUP($B20,'Lichfield 10k'!$A:$C,3,FALSE),"")</f>
        <v/>
      </c>
      <c r="X20" s="5" t="str">
        <f>IFERROR(VLOOKUP($B20,'Adrian Smith'!$A:$C,3,FALSE),"")</f>
        <v/>
      </c>
      <c r="Y20" s="5" t="str">
        <f>IFERROR(VLOOKUP($B20,'Tamworth 5'!$A:$C,3,FALSE),"")</f>
        <v/>
      </c>
      <c r="Z20" s="31" t="str">
        <f>IFERROR(VLOOKUP($B20,'Bagworth XC'!$A:$C,3,FALSE),"")</f>
        <v/>
      </c>
      <c r="AA20" s="5" t="str">
        <f>IFERROR(VLOOKUP($B20,'Markfield 10k'!$A:$C,3,FALSE),"")</f>
        <v/>
      </c>
      <c r="AB20" s="5" t="str">
        <f>IFERROR(VLOOKUP($B20,'Shepshed 7'!$A:$C,3,FALSE),"")</f>
        <v/>
      </c>
    </row>
    <row r="21" spans="1:28" x14ac:dyDescent="0.25">
      <c r="A21" s="42">
        <f ca="1">IFERROR(Table222[[#This Row],[Position]],"")</f>
        <v>19</v>
      </c>
      <c r="B21" s="18" t="s">
        <v>43</v>
      </c>
      <c r="C21" s="81">
        <f ca="1">IF(Table222[[#This Row],[Total races]]=0,0,(RANK(E21,$E$3:$E$63)+COUNTIF(E21:$E$57,E21)-1))</f>
        <v>19</v>
      </c>
      <c r="D21" s="5">
        <f>COUNTIF(F21:AB21,"&gt;=0")</f>
        <v>5</v>
      </c>
      <c r="E21" s="5">
        <f t="array" aca="1" ref="E21" ca="1">IF(Table222[[#This Row],[Total races]]&lt;11,SUM(Table222[[#This Row],[Derby 5k]:[Shepshed 7]]),SUM(LARGE(F21:AB21,ROW(INDIRECT("1:10")))))+Table222[[#This Row],[Total races]]*3</f>
        <v>112</v>
      </c>
      <c r="F21" s="5" t="str">
        <f>IFERROR(VLOOKUP(B21,'Derby 5K'!$M$4:$V$15,10,FALSE),"")</f>
        <v/>
      </c>
      <c r="G21" s="5" t="str">
        <f>IFERROR(VLOOKUP(B21,'Grace Dieu XC'!$A:$C,3,FALSE),"")</f>
        <v/>
      </c>
      <c r="H21" s="5" t="str">
        <f>IFERROR(VLOOKUP(B21,'Bosworth XC'!$A:$C,3,FALSE),"")</f>
        <v/>
      </c>
      <c r="I21" s="5" t="str">
        <f>IFERROR(VLOOKUP($B21,'Kibworth 6'!$A:$C,3,FALSE),"")</f>
        <v/>
      </c>
      <c r="J21" s="5" t="str">
        <f>IFERROR(VLOOKUP($B21,'Ivanhoe 20'!$A:$C,3,FALSE),"")</f>
        <v/>
      </c>
      <c r="K21" s="5">
        <f>IFERROR(VLOOKUP($B21,'Run In Forest'!$A:$C,3,FALSE),"")</f>
        <v>18</v>
      </c>
      <c r="L21" s="5" t="str">
        <f>IFERROR(VLOOKUP($B21,'Stilton 7'!$A:$C,3,FALSE),"")</f>
        <v/>
      </c>
      <c r="M21" s="5" t="str">
        <f>IFERROR(VLOOKUP($B21,'Uttoxeter HM'!$A:$C,3,FALSE),"")</f>
        <v/>
      </c>
      <c r="N21" s="5" t="str">
        <f>IFERROR(VLOOKUP($B21,'Bosworth HM'!$A:$C,3,FALSE),"")</f>
        <v/>
      </c>
      <c r="O21" s="5" t="str">
        <f>IFERROR(VLOOKUP($B21,'West End 8'!$A:$C,3,FALSE),"")</f>
        <v/>
      </c>
      <c r="P21" s="5">
        <f>IFERROR(VLOOKUP($B21,'Swithland 6'!$A:$C,3,FALSE),"")</f>
        <v>22</v>
      </c>
      <c r="Q21" s="5">
        <f>IFERROR(VLOOKUP($B21,'Washlands Relays'!$A:$C,3,FALSE),"")</f>
        <v>4</v>
      </c>
      <c r="R21" s="5" t="str">
        <f>IFERROR(VLOOKUP($B21,'Tara Kinder 10K'!$A:$C,3,FALSE),"")</f>
        <v/>
      </c>
      <c r="S21" s="5" t="str">
        <f>IFERROR(VLOOKUP($B21,'Worthington 6'!$A:$C,3,FALSE),"")</f>
        <v/>
      </c>
      <c r="T21" s="5" t="str">
        <f>IFERROR(VLOOKUP($B21,'Joy Cann 5'!$A:$C,3,FALSE),"")</f>
        <v/>
      </c>
      <c r="U21" s="5" t="str">
        <f>IFERROR(VLOOKUP($B21,'Burton 10k'!$A:$C,3,FALSE),"")</f>
        <v/>
      </c>
      <c r="V21" s="5" t="str">
        <f>IFERROR(VLOOKUP($B21,'Rotherby 8'!$A:$C,3,FALSE),"")</f>
        <v/>
      </c>
      <c r="W21" s="5" t="str">
        <f>IFERROR(VLOOKUP($B21,'Lichfield 10k'!$A:$C,3,FALSE),"")</f>
        <v/>
      </c>
      <c r="X21" s="5" t="str">
        <f>IFERROR(VLOOKUP($B21,'Adrian Smith'!$A:$C,3,FALSE),"")</f>
        <v/>
      </c>
      <c r="Y21" s="5" t="str">
        <f>IFERROR(VLOOKUP($B21,'Tamworth 5'!$A:$C,3,FALSE),"")</f>
        <v/>
      </c>
      <c r="Z21" s="31">
        <f>IFERROR(VLOOKUP($B21,'Bagworth XC'!$A:$C,3,FALSE),"")</f>
        <v>25</v>
      </c>
      <c r="AA21" s="5" t="str">
        <f>IFERROR(VLOOKUP($B21,'Markfield 10k'!$A:$C,3,FALSE),"")</f>
        <v/>
      </c>
      <c r="AB21" s="5">
        <f>IFERROR(VLOOKUP($B21,'Shepshed 7'!$A:$C,3,FALSE),"")</f>
        <v>28</v>
      </c>
    </row>
    <row r="22" spans="1:28" x14ac:dyDescent="0.25">
      <c r="A22" s="42">
        <f ca="1">IFERROR(Table222[[#This Row],[Position]],"")</f>
        <v>20</v>
      </c>
      <c r="B22" s="18" t="s">
        <v>98</v>
      </c>
      <c r="C22" s="81">
        <f ca="1">IF(Table222[[#This Row],[Total races]]=0,0,(RANK(E22,$E$3:$E$63)+COUNTIF(E22:$E$57,E22)-1))</f>
        <v>20</v>
      </c>
      <c r="D22" s="5">
        <f>COUNTIF(F22:AB22,"&gt;=0")</f>
        <v>4</v>
      </c>
      <c r="E22" s="5">
        <f t="array" aca="1" ref="E22" ca="1">IF(Table222[[#This Row],[Total races]]&lt;11,SUM(Table222[[#This Row],[Derby 5k]:[Shepshed 7]]),SUM(LARGE(F22:AB22,ROW(INDIRECT("1:10")))))+Table222[[#This Row],[Total races]]*3</f>
        <v>110</v>
      </c>
      <c r="F22" s="5" t="str">
        <f>IFERROR(VLOOKUP(B22,'Derby 5K'!$M$4:$V$15,10,FALSE),"")</f>
        <v/>
      </c>
      <c r="G22" s="5" t="str">
        <f>IFERROR(VLOOKUP(B22,'Grace Dieu XC'!$A:$C,3,FALSE),"")</f>
        <v/>
      </c>
      <c r="H22" s="5" t="str">
        <f>IFERROR(VLOOKUP(B22,'Bosworth XC'!$A:$C,3,FALSE),"")</f>
        <v/>
      </c>
      <c r="I22" s="5" t="str">
        <f>IFERROR(VLOOKUP($B22,'Kibworth 6'!$A:$C,3,FALSE),"")</f>
        <v/>
      </c>
      <c r="J22" s="5">
        <f>IFERROR(VLOOKUP($B22,'Ivanhoe 20'!$A:$C,3,FALSE),"")</f>
        <v>25</v>
      </c>
      <c r="K22" s="5" t="str">
        <f>IFERROR(VLOOKUP($B22,'Run In Forest'!$A:$C,3,FALSE),"")</f>
        <v/>
      </c>
      <c r="L22" s="5" t="str">
        <f>IFERROR(VLOOKUP($B22,'Stilton 7'!$A:$C,3,FALSE),"")</f>
        <v/>
      </c>
      <c r="M22" s="5" t="str">
        <f>IFERROR(VLOOKUP($B22,'Uttoxeter HM'!$A:$C,3,FALSE),"")</f>
        <v/>
      </c>
      <c r="N22" s="5" t="str">
        <f>IFERROR(VLOOKUP($B22,'Bosworth HM'!$A:$C,3,FALSE),"")</f>
        <v/>
      </c>
      <c r="O22" s="5" t="str">
        <f>IFERROR(VLOOKUP($B22,'West End 8'!$A:$C,3,FALSE),"")</f>
        <v/>
      </c>
      <c r="P22" s="5" t="str">
        <f>IFERROR(VLOOKUP($B22,'Swithland 6'!$A:$C,3,FALSE),"")</f>
        <v/>
      </c>
      <c r="Q22" s="5">
        <f>IFERROR(VLOOKUP($B22,'Washlands Relays'!$A:$C,3,FALSE),"")</f>
        <v>20</v>
      </c>
      <c r="R22" s="5" t="str">
        <f>IFERROR(VLOOKUP($B22,'Tara Kinder 10K'!$A:$C,3,FALSE),"")</f>
        <v/>
      </c>
      <c r="S22" s="5" t="str">
        <f>IFERROR(VLOOKUP($B22,'Worthington 6'!$A:$C,3,FALSE),"")</f>
        <v/>
      </c>
      <c r="T22" s="5" t="str">
        <f>IFERROR(VLOOKUP($B22,'Joy Cann 5'!$A:$C,3,FALSE),"")</f>
        <v/>
      </c>
      <c r="U22" s="5" t="str">
        <f>IFERROR(VLOOKUP($B22,'Burton 10k'!$A:$C,3,FALSE),"")</f>
        <v/>
      </c>
      <c r="V22" s="5" t="str">
        <f>IFERROR(VLOOKUP($B22,'Rotherby 8'!$A:$C,3,FALSE),"")</f>
        <v/>
      </c>
      <c r="W22" s="5" t="str">
        <f>IFERROR(VLOOKUP($B22,'Lichfield 10k'!$A:$C,3,FALSE),"")</f>
        <v/>
      </c>
      <c r="X22" s="5">
        <f>IFERROR(VLOOKUP($B22,'Adrian Smith'!$A:$C,3,FALSE),"")</f>
        <v>25</v>
      </c>
      <c r="Y22" s="5" t="str">
        <f>IFERROR(VLOOKUP($B22,'Tamworth 5'!$A:$C,3,FALSE),"")</f>
        <v/>
      </c>
      <c r="Z22" s="31">
        <f>IFERROR(VLOOKUP($B22,'Bagworth XC'!$A:$C,3,FALSE),"")</f>
        <v>28</v>
      </c>
      <c r="AA22" s="5" t="str">
        <f>IFERROR(VLOOKUP($B22,'Markfield 10k'!$A:$C,3,FALSE),"")</f>
        <v/>
      </c>
      <c r="AB22" s="5" t="str">
        <f>IFERROR(VLOOKUP($B22,'Shepshed 7'!$A:$C,3,FALSE),"")</f>
        <v/>
      </c>
    </row>
    <row r="23" spans="1:28" x14ac:dyDescent="0.25">
      <c r="A23" s="42">
        <f ca="1">IFERROR(Table222[[#This Row],[Position]],"")</f>
        <v>21</v>
      </c>
      <c r="B23" s="18" t="s">
        <v>376</v>
      </c>
      <c r="C23" s="81">
        <f ca="1">IF(Table222[[#This Row],[Total races]]=0,0,(RANK(E23,$E$3:$E$63)+COUNTIF(E23:$E$57,E23)-1))</f>
        <v>21</v>
      </c>
      <c r="D23" s="5">
        <f>COUNTIF(F23:AB23,"&gt;=0")</f>
        <v>3</v>
      </c>
      <c r="E23" s="5">
        <f t="array" aca="1" ref="E23" ca="1">IF(Table222[[#This Row],[Total races]]&lt;11,SUM(Table222[[#This Row],[Derby 5k]:[Shepshed 7]]),SUM(LARGE(F23:AB23,ROW(INDIRECT("1:10")))))+Table222[[#This Row],[Total races]]*3</f>
        <v>94</v>
      </c>
      <c r="F23" s="5" t="str">
        <f>IFERROR(VLOOKUP(B23,'Derby 5K'!$M$4:$V$15,10,FALSE),"")</f>
        <v/>
      </c>
      <c r="G23" s="5" t="str">
        <f>IFERROR(VLOOKUP(B23,'Grace Dieu XC'!$A:$C,3,FALSE),"")</f>
        <v/>
      </c>
      <c r="H23" s="5" t="str">
        <f>IFERROR(VLOOKUP(B23,'Bosworth XC'!$A:$C,3,FALSE),"")</f>
        <v/>
      </c>
      <c r="I23" s="5" t="str">
        <f>IFERROR(VLOOKUP($B23,'Kibworth 6'!$A:$C,3,FALSE),"")</f>
        <v/>
      </c>
      <c r="J23" s="5" t="str">
        <f>IFERROR(VLOOKUP($B23,'Ivanhoe 20'!$A:$C,3,FALSE),"")</f>
        <v/>
      </c>
      <c r="K23" s="5" t="str">
        <f>IFERROR(VLOOKUP($B23,'Run In Forest'!$A:$C,3,FALSE),"")</f>
        <v/>
      </c>
      <c r="L23" s="5" t="str">
        <f>IFERROR(VLOOKUP($B23,'Stilton 7'!$A:$C,3,FALSE),"")</f>
        <v/>
      </c>
      <c r="M23" s="5" t="str">
        <f>IFERROR(VLOOKUP($B23,'Uttoxeter HM'!$A:$C,3,FALSE),"")</f>
        <v/>
      </c>
      <c r="N23" s="5" t="str">
        <f>IFERROR(VLOOKUP($B23,'Bosworth HM'!$A:$C,3,FALSE),"")</f>
        <v/>
      </c>
      <c r="O23" s="5" t="str">
        <f>IFERROR(VLOOKUP($B23,'West End 8'!$A:$C,3,FALSE),"")</f>
        <v/>
      </c>
      <c r="P23" s="5" t="str">
        <f>IFERROR(VLOOKUP($B23,'Swithland 6'!$A:$C,3,FALSE),"")</f>
        <v/>
      </c>
      <c r="Q23" s="5" t="str">
        <f>IFERROR(VLOOKUP($B23,'Washlands Relays'!$A:$C,3,FALSE),"")</f>
        <v/>
      </c>
      <c r="R23" s="5" t="str">
        <f>IFERROR(VLOOKUP($B23,'Tara Kinder 10K'!$A:$C,3,FALSE),"")</f>
        <v/>
      </c>
      <c r="S23" s="5" t="str">
        <f>IFERROR(VLOOKUP($B23,'Worthington 6'!$A:$C,3,FALSE),"")</f>
        <v/>
      </c>
      <c r="T23" s="5" t="str">
        <f>IFERROR(VLOOKUP($B23,'Joy Cann 5'!$A:$C,3,FALSE),"")</f>
        <v/>
      </c>
      <c r="U23" s="5">
        <f>IFERROR(VLOOKUP($B23,'Burton 10k'!$A:$C,3,FALSE),"")</f>
        <v>27</v>
      </c>
      <c r="V23" s="5" t="str">
        <f>IFERROR(VLOOKUP($B23,'Rotherby 8'!$A:$C,3,FALSE),"")</f>
        <v/>
      </c>
      <c r="W23" s="5" t="str">
        <f>IFERROR(VLOOKUP($B23,'Lichfield 10k'!$A:$C,3,FALSE),"")</f>
        <v/>
      </c>
      <c r="X23" s="5">
        <f>IFERROR(VLOOKUP($B23,'Adrian Smith'!$A:$C,3,FALSE),"")</f>
        <v>30</v>
      </c>
      <c r="Y23" s="5">
        <f>IFERROR(VLOOKUP($B23,'Tamworth 5'!$A:$C,3,FALSE),"")</f>
        <v>28</v>
      </c>
      <c r="Z23" s="31" t="str">
        <f>IFERROR(VLOOKUP($B23,'Bagworth XC'!$A:$C,3,FALSE),"")</f>
        <v/>
      </c>
      <c r="AA23" s="5" t="str">
        <f>IFERROR(VLOOKUP($B23,'Markfield 10k'!$A:$C,3,FALSE),"")</f>
        <v/>
      </c>
      <c r="AB23" s="5" t="str">
        <f>IFERROR(VLOOKUP($B23,'Shepshed 7'!$A:$C,3,FALSE),"")</f>
        <v/>
      </c>
    </row>
    <row r="24" spans="1:28" x14ac:dyDescent="0.25">
      <c r="A24" s="42">
        <f ca="1">IFERROR(Table222[[#This Row],[Position]],"")</f>
        <v>22</v>
      </c>
      <c r="B24" s="18" t="s">
        <v>58</v>
      </c>
      <c r="C24" s="81">
        <f ca="1">IF(Table222[[#This Row],[Total races]]=0,0,(RANK(E24,$E$3:$E$63)+COUNTIF(E24:$E$57,E24)-1))</f>
        <v>22</v>
      </c>
      <c r="D24" s="5">
        <f>COUNTIF(F24:AB24,"&gt;=0")</f>
        <v>4</v>
      </c>
      <c r="E24" s="5">
        <f t="array" aca="1" ref="E24" ca="1">IF(Table222[[#This Row],[Total races]]&lt;11,SUM(Table222[[#This Row],[Derby 5k]:[Shepshed 7]]),SUM(LARGE(F24:AB24,ROW(INDIRECT("1:10")))))+Table222[[#This Row],[Total races]]*3</f>
        <v>93</v>
      </c>
      <c r="F24" s="5" t="str">
        <f>IFERROR(VLOOKUP(B24,'Derby 5K'!$M$4:$V$15,10,FALSE),"")</f>
        <v/>
      </c>
      <c r="G24" s="5" t="str">
        <f>IFERROR(VLOOKUP(B24,'Grace Dieu XC'!$A:$C,3,FALSE),"")</f>
        <v/>
      </c>
      <c r="H24" s="5" t="str">
        <f>IFERROR(VLOOKUP(B24,'Bosworth XC'!$A:$C,3,FALSE),"")</f>
        <v/>
      </c>
      <c r="I24" s="5" t="str">
        <f>IFERROR(VLOOKUP($B24,'Kibworth 6'!$A:$C,3,FALSE),"")</f>
        <v/>
      </c>
      <c r="J24" s="5" t="str">
        <f>IFERROR(VLOOKUP($B24,'Ivanhoe 20'!$A:$C,3,FALSE),"")</f>
        <v/>
      </c>
      <c r="K24" s="5" t="str">
        <f>IFERROR(VLOOKUP($B24,'Run In Forest'!$A:$C,3,FALSE),"")</f>
        <v/>
      </c>
      <c r="L24" s="5" t="str">
        <f>IFERROR(VLOOKUP($B24,'Stilton 7'!$A:$C,3,FALSE),"")</f>
        <v/>
      </c>
      <c r="M24" s="5" t="str">
        <f>IFERROR(VLOOKUP($B24,'Uttoxeter HM'!$A:$C,3,FALSE),"")</f>
        <v/>
      </c>
      <c r="N24" s="5" t="str">
        <f>IFERROR(VLOOKUP($B24,'Bosworth HM'!$A:$C,3,FALSE),"")</f>
        <v/>
      </c>
      <c r="O24" s="5" t="str">
        <f>IFERROR(VLOOKUP($B24,'West End 8'!$A:$C,3,FALSE),"")</f>
        <v/>
      </c>
      <c r="P24" s="5" t="str">
        <f>IFERROR(VLOOKUP($B24,'Swithland 6'!$A:$C,3,FALSE),"")</f>
        <v/>
      </c>
      <c r="Q24" s="5">
        <f>IFERROR(VLOOKUP($B24,'Washlands Relays'!$A:$C,3,FALSE),"")</f>
        <v>9</v>
      </c>
      <c r="R24" s="5" t="str">
        <f>IFERROR(VLOOKUP($B24,'Tara Kinder 10K'!$A:$C,3,FALSE),"")</f>
        <v/>
      </c>
      <c r="S24" s="5">
        <f>IFERROR(VLOOKUP($B24,'Worthington 6'!$A:$C,3,FALSE),"")</f>
        <v>23</v>
      </c>
      <c r="T24" s="5" t="str">
        <f>IFERROR(VLOOKUP($B24,'Joy Cann 5'!$A:$C,3,FALSE),"")</f>
        <v/>
      </c>
      <c r="U24" s="5" t="str">
        <f>IFERROR(VLOOKUP($B24,'Burton 10k'!$A:$C,3,FALSE),"")</f>
        <v/>
      </c>
      <c r="V24" s="5" t="str">
        <f>IFERROR(VLOOKUP($B24,'Rotherby 8'!$A:$C,3,FALSE),"")</f>
        <v/>
      </c>
      <c r="W24" s="5" t="str">
        <f>IFERROR(VLOOKUP($B24,'Lichfield 10k'!$A:$C,3,FALSE),"")</f>
        <v/>
      </c>
      <c r="X24" s="5">
        <f>IFERROR(VLOOKUP($B24,'Adrian Smith'!$A:$C,3,FALSE),"")</f>
        <v>24</v>
      </c>
      <c r="Y24" s="5">
        <f>IFERROR(VLOOKUP($B24,'Tamworth 5'!$A:$C,3,FALSE),"")</f>
        <v>25</v>
      </c>
      <c r="Z24" s="31" t="str">
        <f>IFERROR(VLOOKUP($B24,'Bagworth XC'!$A:$C,3,FALSE),"")</f>
        <v/>
      </c>
      <c r="AA24" s="5" t="str">
        <f>IFERROR(VLOOKUP($B24,'Markfield 10k'!$A:$C,3,FALSE),"")</f>
        <v/>
      </c>
      <c r="AB24" s="5" t="str">
        <f>IFERROR(VLOOKUP($B24,'Shepshed 7'!$A:$C,3,FALSE),"")</f>
        <v/>
      </c>
    </row>
    <row r="25" spans="1:28" x14ac:dyDescent="0.25">
      <c r="A25" s="42">
        <f ca="1">IFERROR(Table222[[#This Row],[Position]],"")</f>
        <v>23</v>
      </c>
      <c r="B25" s="18" t="s">
        <v>137</v>
      </c>
      <c r="C25" s="81">
        <f ca="1">IF(Table222[[#This Row],[Total races]]=0,0,(RANK(E25,$E$3:$E$63)+COUNTIF(E25:$E$57,E25)-1))</f>
        <v>23</v>
      </c>
      <c r="D25" s="5">
        <f>COUNTIF(F25:AB25,"&gt;=0")</f>
        <v>4</v>
      </c>
      <c r="E25" s="5">
        <f t="array" aca="1" ref="E25" ca="1">IF(Table222[[#This Row],[Total races]]&lt;11,SUM(Table222[[#This Row],[Derby 5k]:[Shepshed 7]]),SUM(LARGE(F25:AB25,ROW(INDIRECT("1:10")))))+Table222[[#This Row],[Total races]]*3</f>
        <v>89</v>
      </c>
      <c r="F25" s="5" t="str">
        <f>IFERROR(VLOOKUP(B25,'Derby 5K'!$M$4:$V$15,10,FALSE),"")</f>
        <v/>
      </c>
      <c r="G25" s="5" t="str">
        <f>IFERROR(VLOOKUP(B25,'Grace Dieu XC'!$A:$C,3,FALSE),"")</f>
        <v/>
      </c>
      <c r="H25" s="5" t="str">
        <f>IFERROR(VLOOKUP(B25,'Bosworth XC'!$A:$C,3,FALSE),"")</f>
        <v/>
      </c>
      <c r="I25" s="5" t="str">
        <f>IFERROR(VLOOKUP($B25,'Kibworth 6'!$A:$C,3,FALSE),"")</f>
        <v/>
      </c>
      <c r="J25" s="5" t="str">
        <f>IFERROR(VLOOKUP($B25,'Ivanhoe 20'!$A:$C,3,FALSE),"")</f>
        <v/>
      </c>
      <c r="K25" s="5" t="str">
        <f>IFERROR(VLOOKUP($B25,'Run In Forest'!$A:$C,3,FALSE),"")</f>
        <v/>
      </c>
      <c r="L25" s="5" t="str">
        <f>IFERROR(VLOOKUP($B25,'Stilton 7'!$A:$C,3,FALSE),"")</f>
        <v/>
      </c>
      <c r="M25" s="5" t="str">
        <f>IFERROR(VLOOKUP($B25,'Uttoxeter HM'!$A:$C,3,FALSE),"")</f>
        <v/>
      </c>
      <c r="N25" s="5" t="str">
        <f>IFERROR(VLOOKUP($B25,'Bosworth HM'!$A:$C,3,FALSE),"")</f>
        <v/>
      </c>
      <c r="O25" s="5" t="str">
        <f>IFERROR(VLOOKUP($B25,'West End 8'!$A:$C,3,FALSE),"")</f>
        <v/>
      </c>
      <c r="P25" s="5" t="str">
        <f>IFERROR(VLOOKUP($B25,'Swithland 6'!$A:$C,3,FALSE),"")</f>
        <v/>
      </c>
      <c r="Q25" s="5">
        <f>IFERROR(VLOOKUP($B25,'Washlands Relays'!$A:$C,3,FALSE),"")</f>
        <v>8</v>
      </c>
      <c r="R25" s="5" t="str">
        <f>IFERROR(VLOOKUP($B25,'Tara Kinder 10K'!$A:$C,3,FALSE),"")</f>
        <v/>
      </c>
      <c r="S25" s="5">
        <f>IFERROR(VLOOKUP($B25,'Worthington 6'!$A:$C,3,FALSE),"")</f>
        <v>26</v>
      </c>
      <c r="T25" s="5" t="str">
        <f>IFERROR(VLOOKUP($B25,'Joy Cann 5'!$A:$C,3,FALSE),"")</f>
        <v/>
      </c>
      <c r="U25" s="5" t="str">
        <f>IFERROR(VLOOKUP($B25,'Burton 10k'!$A:$C,3,FALSE),"")</f>
        <v/>
      </c>
      <c r="V25" s="5" t="str">
        <f>IFERROR(VLOOKUP($B25,'Rotherby 8'!$A:$C,3,FALSE),"")</f>
        <v/>
      </c>
      <c r="W25" s="5" t="str">
        <f>IFERROR(VLOOKUP($B25,'Lichfield 10k'!$A:$C,3,FALSE),"")</f>
        <v/>
      </c>
      <c r="X25" s="5">
        <f>IFERROR(VLOOKUP($B25,'Adrian Smith'!$A:$C,3,FALSE),"")</f>
        <v>23</v>
      </c>
      <c r="Y25" s="5" t="str">
        <f>IFERROR(VLOOKUP($B25,'Tamworth 5'!$A:$C,3,FALSE),"")</f>
        <v/>
      </c>
      <c r="Z25" s="31">
        <f>IFERROR(VLOOKUP($B25,'Bagworth XC'!$A:$C,3,FALSE),"")</f>
        <v>20</v>
      </c>
      <c r="AA25" s="5" t="str">
        <f>IFERROR(VLOOKUP($B25,'Markfield 10k'!$A:$C,3,FALSE),"")</f>
        <v/>
      </c>
      <c r="AB25" s="5" t="str">
        <f>IFERROR(VLOOKUP($B25,'Shepshed 7'!$A:$C,3,FALSE),"")</f>
        <v/>
      </c>
    </row>
    <row r="26" spans="1:28" x14ac:dyDescent="0.25">
      <c r="A26" s="42">
        <f ca="1">IFERROR(Table222[[#This Row],[Position]],"")</f>
        <v>24</v>
      </c>
      <c r="B26" s="18" t="s">
        <v>95</v>
      </c>
      <c r="C26" s="81">
        <f ca="1">IF(Table222[[#This Row],[Total races]]=0,0,(RANK(E26,$E$3:$E$63)+COUNTIF(E26:$E$57,E26)-1))</f>
        <v>24</v>
      </c>
      <c r="D26" s="5">
        <f>COUNTIF(F26:AB26,"&gt;=0")</f>
        <v>3</v>
      </c>
      <c r="E26" s="5">
        <f t="array" aca="1" ref="E26" ca="1">IF(Table222[[#This Row],[Total races]]&lt;11,SUM(Table222[[#This Row],[Derby 5k]:[Shepshed 7]]),SUM(LARGE(F26:AB26,ROW(INDIRECT("1:10")))))+Table222[[#This Row],[Total races]]*3</f>
        <v>88</v>
      </c>
      <c r="F26" s="5" t="str">
        <f>IFERROR(VLOOKUP(B26,'Derby 5K'!$M$4:$V$15,10,FALSE),"")</f>
        <v/>
      </c>
      <c r="G26" s="5" t="str">
        <f>IFERROR(VLOOKUP(B26,'Grace Dieu XC'!$A:$C,3,FALSE),"")</f>
        <v/>
      </c>
      <c r="H26" s="5" t="str">
        <f>IFERROR(VLOOKUP(B26,'Bosworth XC'!$A:$C,3,FALSE),"")</f>
        <v/>
      </c>
      <c r="I26" s="5" t="str">
        <f>IFERROR(VLOOKUP($B26,'Kibworth 6'!$A:$C,3,FALSE),"")</f>
        <v/>
      </c>
      <c r="J26" s="5" t="str">
        <f>IFERROR(VLOOKUP($B26,'Ivanhoe 20'!$A:$C,3,FALSE),"")</f>
        <v/>
      </c>
      <c r="K26" s="5" t="str">
        <f>IFERROR(VLOOKUP($B26,'Run In Forest'!$A:$C,3,FALSE),"")</f>
        <v/>
      </c>
      <c r="L26" s="5" t="str">
        <f>IFERROR(VLOOKUP($B26,'Stilton 7'!$A:$C,3,FALSE),"")</f>
        <v/>
      </c>
      <c r="M26" s="5" t="str">
        <f>IFERROR(VLOOKUP($B26,'Uttoxeter HM'!$A:$C,3,FALSE),"")</f>
        <v/>
      </c>
      <c r="N26" s="5" t="str">
        <f>IFERROR(VLOOKUP($B26,'Bosworth HM'!$A:$C,3,FALSE),"")</f>
        <v/>
      </c>
      <c r="O26" s="5" t="str">
        <f>IFERROR(VLOOKUP($B26,'West End 8'!$A:$C,3,FALSE),"")</f>
        <v/>
      </c>
      <c r="P26" s="5">
        <f>IFERROR(VLOOKUP($B26,'Swithland 6'!$A:$C,3,FALSE),"")</f>
        <v>26</v>
      </c>
      <c r="Q26" s="5">
        <f>IFERROR(VLOOKUP($B26,'Washlands Relays'!$A:$C,3,FALSE),"")</f>
        <v>25</v>
      </c>
      <c r="R26" s="5">
        <f>IFERROR(VLOOKUP($B26,'Tara Kinder 10K'!$A:$C,3,FALSE),"")</f>
        <v>28</v>
      </c>
      <c r="S26" s="5" t="str">
        <f>IFERROR(VLOOKUP($B26,'Worthington 6'!$A:$C,3,FALSE),"")</f>
        <v/>
      </c>
      <c r="T26" s="5" t="str">
        <f>IFERROR(VLOOKUP($B26,'Joy Cann 5'!$A:$C,3,FALSE),"")</f>
        <v/>
      </c>
      <c r="U26" s="5" t="str">
        <f>IFERROR(VLOOKUP($B26,'Burton 10k'!$A:$C,3,FALSE),"")</f>
        <v/>
      </c>
      <c r="V26" s="5" t="str">
        <f>IFERROR(VLOOKUP($B26,'Rotherby 8'!$A:$C,3,FALSE),"")</f>
        <v/>
      </c>
      <c r="W26" s="5" t="str">
        <f>IFERROR(VLOOKUP($B26,'Lichfield 10k'!$A:$C,3,FALSE),"")</f>
        <v/>
      </c>
      <c r="X26" s="5" t="str">
        <f>IFERROR(VLOOKUP($B26,'Adrian Smith'!$A:$C,3,FALSE),"")</f>
        <v/>
      </c>
      <c r="Y26" s="5" t="str">
        <f>IFERROR(VLOOKUP($B26,'Tamworth 5'!$A:$C,3,FALSE),"")</f>
        <v/>
      </c>
      <c r="Z26" s="31" t="str">
        <f>IFERROR(VLOOKUP($B26,'Bagworth XC'!$A:$C,3,FALSE),"")</f>
        <v/>
      </c>
      <c r="AA26" s="5" t="str">
        <f>IFERROR(VLOOKUP($B26,'Markfield 10k'!$A:$C,3,FALSE),"")</f>
        <v/>
      </c>
      <c r="AB26" s="5" t="str">
        <f>IFERROR(VLOOKUP($B26,'Shepshed 7'!$A:$C,3,FALSE),"")</f>
        <v/>
      </c>
    </row>
    <row r="27" spans="1:28" x14ac:dyDescent="0.25">
      <c r="A27" s="42">
        <f ca="1">IFERROR(Table222[[#This Row],[Position]],"")</f>
        <v>25</v>
      </c>
      <c r="B27" s="18" t="s">
        <v>238</v>
      </c>
      <c r="C27" s="81">
        <f ca="1">IF(Table222[[#This Row],[Total races]]=0,0,(RANK(E27,$E$3:$E$63)+COUNTIF(E27:$E$57,E27)-1))</f>
        <v>25</v>
      </c>
      <c r="D27" s="5">
        <f>COUNTIF(F27:AB27,"&gt;=0")</f>
        <v>3</v>
      </c>
      <c r="E27" s="5">
        <f t="array" aca="1" ref="E27" ca="1">IF(Table222[[#This Row],[Total races]]&lt;11,SUM(Table222[[#This Row],[Derby 5k]:[Shepshed 7]]),SUM(LARGE(F27:AB27,ROW(INDIRECT("1:10")))))+Table222[[#This Row],[Total races]]*3</f>
        <v>85</v>
      </c>
      <c r="F27" s="5" t="str">
        <f>IFERROR(VLOOKUP(B27,'Derby 5K'!$M$4:$V$15,10,FALSE),"")</f>
        <v/>
      </c>
      <c r="G27" s="5" t="str">
        <f>IFERROR(VLOOKUP(B27,'Grace Dieu XC'!$A:$C,3,FALSE),"")</f>
        <v/>
      </c>
      <c r="H27" s="5" t="str">
        <f>IFERROR(VLOOKUP(B27,'Bosworth XC'!$A:$C,3,FALSE),"")</f>
        <v/>
      </c>
      <c r="I27" s="5" t="str">
        <f>IFERROR(VLOOKUP($B27,'Kibworth 6'!$A:$C,3,FALSE),"")</f>
        <v/>
      </c>
      <c r="J27" s="5" t="str">
        <f>IFERROR(VLOOKUP($B27,'Ivanhoe 20'!$A:$C,3,FALSE),"")</f>
        <v/>
      </c>
      <c r="K27" s="5">
        <f>IFERROR(VLOOKUP($B27,'Run In Forest'!$A:$C,3,FALSE),"")</f>
        <v>23</v>
      </c>
      <c r="L27" s="5" t="str">
        <f>IFERROR(VLOOKUP($B27,'Stilton 7'!$A:$C,3,FALSE),"")</f>
        <v/>
      </c>
      <c r="M27" s="5" t="str">
        <f>IFERROR(VLOOKUP($B27,'Uttoxeter HM'!$A:$C,3,FALSE),"")</f>
        <v/>
      </c>
      <c r="N27" s="5" t="str">
        <f>IFERROR(VLOOKUP($B27,'Bosworth HM'!$A:$C,3,FALSE),"")</f>
        <v/>
      </c>
      <c r="O27" s="5" t="str">
        <f>IFERROR(VLOOKUP($B27,'West End 8'!$A:$C,3,FALSE),"")</f>
        <v/>
      </c>
      <c r="P27" s="5" t="str">
        <f>IFERROR(VLOOKUP($B27,'Swithland 6'!$A:$C,3,FALSE),"")</f>
        <v/>
      </c>
      <c r="Q27" s="5" t="str">
        <f>IFERROR(VLOOKUP($B27,'Washlands Relays'!$A:$C,3,FALSE),"")</f>
        <v/>
      </c>
      <c r="R27" s="5" t="str">
        <f>IFERROR(VLOOKUP($B27,'Tara Kinder 10K'!$A:$C,3,FALSE),"")</f>
        <v/>
      </c>
      <c r="S27" s="5" t="str">
        <f>IFERROR(VLOOKUP($B27,'Worthington 6'!$A:$C,3,FALSE),"")</f>
        <v/>
      </c>
      <c r="T27" s="5" t="str">
        <f>IFERROR(VLOOKUP($B27,'Joy Cann 5'!$A:$C,3,FALSE),"")</f>
        <v/>
      </c>
      <c r="U27" s="5">
        <f>IFERROR(VLOOKUP($B27,'Burton 10k'!$A:$C,3,FALSE),"")</f>
        <v>24</v>
      </c>
      <c r="V27" s="5" t="str">
        <f>IFERROR(VLOOKUP($B27,'Rotherby 8'!$A:$C,3,FALSE),"")</f>
        <v/>
      </c>
      <c r="W27" s="5">
        <f>IFERROR(VLOOKUP($B27,'Lichfield 10k'!$A:$C,3,FALSE),"")</f>
        <v>29</v>
      </c>
      <c r="X27" s="5" t="str">
        <f>IFERROR(VLOOKUP($B27,'Adrian Smith'!$A:$C,3,FALSE),"")</f>
        <v/>
      </c>
      <c r="Y27" s="5" t="str">
        <f>IFERROR(VLOOKUP($B27,'Tamworth 5'!$A:$C,3,FALSE),"")</f>
        <v/>
      </c>
      <c r="Z27" s="31" t="str">
        <f>IFERROR(VLOOKUP($B27,'Bagworth XC'!$A:$C,3,FALSE),"")</f>
        <v/>
      </c>
      <c r="AA27" s="5" t="str">
        <f>IFERROR(VLOOKUP($B27,'Markfield 10k'!$A:$C,3,FALSE),"")</f>
        <v/>
      </c>
      <c r="AB27" s="5" t="str">
        <f>IFERROR(VLOOKUP($B27,'Shepshed 7'!$A:$C,3,FALSE),"")</f>
        <v/>
      </c>
    </row>
    <row r="28" spans="1:28" x14ac:dyDescent="0.25">
      <c r="A28" s="42">
        <f ca="1">IFERROR(Table222[[#This Row],[Position]],"")</f>
        <v>26</v>
      </c>
      <c r="B28" s="18" t="s">
        <v>14</v>
      </c>
      <c r="C28" s="81">
        <f ca="1">IF(Table222[[#This Row],[Total races]]=0,0,(RANK(E28,$E$3:$E$63)+COUNTIF(E28:$E$57,E28)-1))</f>
        <v>26</v>
      </c>
      <c r="D28" s="5">
        <f>COUNTIF(F28:AB28,"&gt;=0")</f>
        <v>4</v>
      </c>
      <c r="E28" s="5">
        <f t="array" aca="1" ref="E28" ca="1">IF(Table222[[#This Row],[Total races]]&lt;11,SUM(Table222[[#This Row],[Derby 5k]:[Shepshed 7]]),SUM(LARGE(F28:AB28,ROW(INDIRECT("1:10")))))+Table222[[#This Row],[Total races]]*3</f>
        <v>82</v>
      </c>
      <c r="F28" s="5" t="str">
        <f>IFERROR(VLOOKUP(B28,'Derby 5K'!$M$4:$V$15,10,FALSE),"")</f>
        <v/>
      </c>
      <c r="G28" s="5" t="str">
        <f>IFERROR(VLOOKUP(B28,'Grace Dieu XC'!$A:$C,3,FALSE),"")</f>
        <v/>
      </c>
      <c r="H28" s="5" t="str">
        <f>IFERROR(VLOOKUP(B28,'Bosworth XC'!$A:$C,3,FALSE),"")</f>
        <v/>
      </c>
      <c r="I28" s="5" t="str">
        <f>IFERROR(VLOOKUP($B28,'Kibworth 6'!$A:$C,3,FALSE),"")</f>
        <v/>
      </c>
      <c r="J28" s="5" t="str">
        <f>IFERROR(VLOOKUP($B28,'Ivanhoe 20'!$A:$C,3,FALSE),"")</f>
        <v/>
      </c>
      <c r="K28" s="5">
        <f>IFERROR(VLOOKUP($B28,'Run In Forest'!$A:$C,3,FALSE),"")</f>
        <v>20</v>
      </c>
      <c r="L28" s="5" t="str">
        <f>IFERROR(VLOOKUP($B28,'Stilton 7'!$A:$C,3,FALSE),"")</f>
        <v/>
      </c>
      <c r="M28" s="5" t="str">
        <f>IFERROR(VLOOKUP($B28,'Uttoxeter HM'!$A:$C,3,FALSE),"")</f>
        <v/>
      </c>
      <c r="N28" s="5" t="str">
        <f>IFERROR(VLOOKUP($B28,'Bosworth HM'!$A:$C,3,FALSE),"")</f>
        <v/>
      </c>
      <c r="O28" s="5" t="str">
        <f>IFERROR(VLOOKUP($B28,'West End 8'!$A:$C,3,FALSE),"")</f>
        <v/>
      </c>
      <c r="P28" s="5" t="str">
        <f>IFERROR(VLOOKUP($B28,'Swithland 6'!$A:$C,3,FALSE),"")</f>
        <v/>
      </c>
      <c r="Q28" s="5">
        <f>IFERROR(VLOOKUP($B28,'Washlands Relays'!$A:$C,3,FALSE),"")</f>
        <v>3</v>
      </c>
      <c r="R28" s="5">
        <f>IFERROR(VLOOKUP($B28,'Tara Kinder 10K'!$A:$C,3,FALSE),"")</f>
        <v>25</v>
      </c>
      <c r="S28" s="5">
        <f>IFERROR(VLOOKUP($B28,'Worthington 6'!$A:$C,3,FALSE),"")</f>
        <v>22</v>
      </c>
      <c r="T28" s="5" t="str">
        <f>IFERROR(VLOOKUP($B28,'Joy Cann 5'!$A:$C,3,FALSE),"")</f>
        <v/>
      </c>
      <c r="U28" s="5" t="str">
        <f>IFERROR(VLOOKUP($B28,'Burton 10k'!$A:$C,3,FALSE),"")</f>
        <v/>
      </c>
      <c r="V28" s="5" t="str">
        <f>IFERROR(VLOOKUP($B28,'Rotherby 8'!$A:$C,3,FALSE),"")</f>
        <v/>
      </c>
      <c r="W28" s="5" t="str">
        <f>IFERROR(VLOOKUP($B28,'Lichfield 10k'!$A:$C,3,FALSE),"")</f>
        <v/>
      </c>
      <c r="X28" s="5" t="str">
        <f>IFERROR(VLOOKUP($B28,'Adrian Smith'!$A:$C,3,FALSE),"")</f>
        <v/>
      </c>
      <c r="Y28" s="5" t="str">
        <f>IFERROR(VLOOKUP($B28,'Tamworth 5'!$A:$C,3,FALSE),"")</f>
        <v/>
      </c>
      <c r="Z28" s="31" t="str">
        <f>IFERROR(VLOOKUP($B28,'Bagworth XC'!$A:$C,3,FALSE),"")</f>
        <v/>
      </c>
      <c r="AA28" s="5" t="str">
        <f>IFERROR(VLOOKUP($B28,'Markfield 10k'!$A:$C,3,FALSE),"")</f>
        <v/>
      </c>
      <c r="AB28" s="5" t="str">
        <f>IFERROR(VLOOKUP($B28,'Shepshed 7'!$A:$C,3,FALSE),"")</f>
        <v/>
      </c>
    </row>
    <row r="29" spans="1:28" x14ac:dyDescent="0.25">
      <c r="A29" s="42">
        <f ca="1">IFERROR(Table222[[#This Row],[Position]],"")</f>
        <v>27</v>
      </c>
      <c r="B29" s="18" t="s">
        <v>51</v>
      </c>
      <c r="C29" s="81">
        <f ca="1">IF(Table222[[#This Row],[Total races]]=0,0,(RANK(E29,$E$3:$E$63)+COUNTIF(E29:$E$57,E29)-1))</f>
        <v>27</v>
      </c>
      <c r="D29" s="5">
        <f>COUNTIF(F29:AB29,"&gt;=0")</f>
        <v>3</v>
      </c>
      <c r="E29" s="5">
        <f t="array" aca="1" ref="E29" ca="1">IF(Table222[[#This Row],[Total races]]&lt;11,SUM(Table222[[#This Row],[Derby 5k]:[Shepshed 7]]),SUM(LARGE(F29:AB29,ROW(INDIRECT("1:10")))))+Table222[[#This Row],[Total races]]*3</f>
        <v>80</v>
      </c>
      <c r="F29" s="5" t="str">
        <f>IFERROR(VLOOKUP(B29,'Derby 5K'!$M$4:$V$15,10,FALSE),"")</f>
        <v/>
      </c>
      <c r="G29" s="5" t="str">
        <f>IFERROR(VLOOKUP(B29,'Grace Dieu XC'!$A:$C,3,FALSE),"")</f>
        <v/>
      </c>
      <c r="H29" s="5" t="str">
        <f>IFERROR(VLOOKUP(B29,'Bosworth XC'!$A:$C,3,FALSE),"")</f>
        <v/>
      </c>
      <c r="I29" s="5" t="str">
        <f>IFERROR(VLOOKUP($B29,'Kibworth 6'!$A:$C,3,FALSE),"")</f>
        <v/>
      </c>
      <c r="J29" s="5" t="str">
        <f>IFERROR(VLOOKUP($B29,'Ivanhoe 20'!$A:$C,3,FALSE),"")</f>
        <v/>
      </c>
      <c r="K29" s="5" t="str">
        <f>IFERROR(VLOOKUP($B29,'Run In Forest'!$A:$C,3,FALSE),"")</f>
        <v/>
      </c>
      <c r="L29" s="5" t="str">
        <f>IFERROR(VLOOKUP($B29,'Stilton 7'!$A:$C,3,FALSE),"")</f>
        <v/>
      </c>
      <c r="M29" s="5" t="str">
        <f>IFERROR(VLOOKUP($B29,'Uttoxeter HM'!$A:$C,3,FALSE),"")</f>
        <v/>
      </c>
      <c r="N29" s="5" t="str">
        <f>IFERROR(VLOOKUP($B29,'Bosworth HM'!$A:$C,3,FALSE),"")</f>
        <v/>
      </c>
      <c r="O29" s="5" t="str">
        <f>IFERROR(VLOOKUP($B29,'West End 8'!$A:$C,3,FALSE),"")</f>
        <v/>
      </c>
      <c r="P29" s="5" t="str">
        <f>IFERROR(VLOOKUP($B29,'Swithland 6'!$A:$C,3,FALSE),"")</f>
        <v/>
      </c>
      <c r="Q29" s="5">
        <f>IFERROR(VLOOKUP($B29,'Washlands Relays'!$A:$C,3,FALSE),"")</f>
        <v>17</v>
      </c>
      <c r="R29" s="5" t="str">
        <f>IFERROR(VLOOKUP($B29,'Tara Kinder 10K'!$A:$C,3,FALSE),"")</f>
        <v/>
      </c>
      <c r="S29" s="5" t="str">
        <f>IFERROR(VLOOKUP($B29,'Worthington 6'!$A:$C,3,FALSE),"")</f>
        <v/>
      </c>
      <c r="T29" s="5" t="str">
        <f>IFERROR(VLOOKUP($B29,'Joy Cann 5'!$A:$C,3,FALSE),"")</f>
        <v/>
      </c>
      <c r="U29" s="5" t="str">
        <f>IFERROR(VLOOKUP($B29,'Burton 10k'!$A:$C,3,FALSE),"")</f>
        <v/>
      </c>
      <c r="V29" s="5" t="str">
        <f>IFERROR(VLOOKUP($B29,'Rotherby 8'!$A:$C,3,FALSE),"")</f>
        <v/>
      </c>
      <c r="W29" s="5" t="str">
        <f>IFERROR(VLOOKUP($B29,'Lichfield 10k'!$A:$C,3,FALSE),"")</f>
        <v/>
      </c>
      <c r="X29" s="5">
        <f>IFERROR(VLOOKUP($B29,'Adrian Smith'!$A:$C,3,FALSE),"")</f>
        <v>27</v>
      </c>
      <c r="Y29" s="5" t="str">
        <f>IFERROR(VLOOKUP($B29,'Tamworth 5'!$A:$C,3,FALSE),"")</f>
        <v/>
      </c>
      <c r="Z29" s="31">
        <f>IFERROR(VLOOKUP($B29,'Bagworth XC'!$A:$C,3,FALSE),"")</f>
        <v>27</v>
      </c>
      <c r="AA29" s="5" t="str">
        <f>IFERROR(VLOOKUP($B29,'Markfield 10k'!$A:$C,3,FALSE),"")</f>
        <v/>
      </c>
      <c r="AB29" s="5" t="str">
        <f>IFERROR(VLOOKUP($B29,'Shepshed 7'!$A:$C,3,FALSE),"")</f>
        <v/>
      </c>
    </row>
    <row r="30" spans="1:28" x14ac:dyDescent="0.25">
      <c r="A30" s="42">
        <f ca="1">IFERROR(Table222[[#This Row],[Position]],"")</f>
        <v>28</v>
      </c>
      <c r="B30" s="18" t="s">
        <v>32</v>
      </c>
      <c r="C30" s="81">
        <f ca="1">IF(Table222[[#This Row],[Total races]]=0,0,(RANK(E30,$E$3:$E$63)+COUNTIF(E30:$E$57,E30)-1))</f>
        <v>28</v>
      </c>
      <c r="D30" s="5">
        <f>COUNTIF(F30:AB30,"&gt;=0")</f>
        <v>3</v>
      </c>
      <c r="E30" s="5">
        <f t="array" aca="1" ref="E30" ca="1">IF(Table222[[#This Row],[Total races]]&lt;11,SUM(Table222[[#This Row],[Derby 5k]:[Shepshed 7]]),SUM(LARGE(F30:AB30,ROW(INDIRECT("1:10")))))+Table222[[#This Row],[Total races]]*3</f>
        <v>79</v>
      </c>
      <c r="F30" s="5" t="str">
        <f>IFERROR(VLOOKUP(B30,'Derby 5K'!$M$4:$V$15,10,FALSE),"")</f>
        <v/>
      </c>
      <c r="G30" s="5" t="str">
        <f>IFERROR(VLOOKUP(B30,'Grace Dieu XC'!$A:$C,3,FALSE),"")</f>
        <v/>
      </c>
      <c r="H30" s="5" t="str">
        <f>IFERROR(VLOOKUP(B30,'Bosworth XC'!$A:$C,3,FALSE),"")</f>
        <v/>
      </c>
      <c r="I30" s="5" t="str">
        <f>IFERROR(VLOOKUP($B30,'Kibworth 6'!$A:$C,3,FALSE),"")</f>
        <v/>
      </c>
      <c r="J30" s="5" t="str">
        <f>IFERROR(VLOOKUP($B30,'Ivanhoe 20'!$A:$C,3,FALSE),"")</f>
        <v/>
      </c>
      <c r="K30" s="5">
        <f>IFERROR(VLOOKUP($B30,'Run In Forest'!$A:$C,3,FALSE),"")</f>
        <v>19</v>
      </c>
      <c r="L30" s="5" t="str">
        <f>IFERROR(VLOOKUP($B30,'Stilton 7'!$A:$C,3,FALSE),"")</f>
        <v/>
      </c>
      <c r="M30" s="5" t="str">
        <f>IFERROR(VLOOKUP($B30,'Uttoxeter HM'!$A:$C,3,FALSE),"")</f>
        <v/>
      </c>
      <c r="N30" s="5" t="str">
        <f>IFERROR(VLOOKUP($B30,'Bosworth HM'!$A:$C,3,FALSE),"")</f>
        <v/>
      </c>
      <c r="O30" s="5" t="str">
        <f>IFERROR(VLOOKUP($B30,'West End 8'!$A:$C,3,FALSE),"")</f>
        <v/>
      </c>
      <c r="P30" s="5" t="str">
        <f>IFERROR(VLOOKUP($B30,'Swithland 6'!$A:$C,3,FALSE),"")</f>
        <v/>
      </c>
      <c r="Q30" s="5" t="str">
        <f>IFERROR(VLOOKUP($B30,'Washlands Relays'!$A:$C,3,FALSE),"")</f>
        <v/>
      </c>
      <c r="R30" s="5" t="str">
        <f>IFERROR(VLOOKUP($B30,'Tara Kinder 10K'!$A:$C,3,FALSE),"")</f>
        <v/>
      </c>
      <c r="S30" s="5" t="str">
        <f>IFERROR(VLOOKUP($B30,'Worthington 6'!$A:$C,3,FALSE),"")</f>
        <v/>
      </c>
      <c r="T30" s="5" t="str">
        <f>IFERROR(VLOOKUP($B30,'Joy Cann 5'!$A:$C,3,FALSE),"")</f>
        <v/>
      </c>
      <c r="U30" s="5" t="str">
        <f>IFERROR(VLOOKUP($B30,'Burton 10k'!$A:$C,3,FALSE),"")</f>
        <v/>
      </c>
      <c r="V30" s="5" t="str">
        <f>IFERROR(VLOOKUP($B30,'Rotherby 8'!$A:$C,3,FALSE),"")</f>
        <v/>
      </c>
      <c r="W30" s="5" t="str">
        <f>IFERROR(VLOOKUP($B30,'Lichfield 10k'!$A:$C,3,FALSE),"")</f>
        <v/>
      </c>
      <c r="X30" s="5" t="str">
        <f>IFERROR(VLOOKUP($B30,'Adrian Smith'!$A:$C,3,FALSE),"")</f>
        <v/>
      </c>
      <c r="Y30" s="5" t="str">
        <f>IFERROR(VLOOKUP($B30,'Tamworth 5'!$A:$C,3,FALSE),"")</f>
        <v/>
      </c>
      <c r="Z30" s="31" t="str">
        <f>IFERROR(VLOOKUP($B30,'Bagworth XC'!$A:$C,3,FALSE),"")</f>
        <v/>
      </c>
      <c r="AA30" s="5">
        <f>IFERROR(VLOOKUP($B30,'Markfield 10k'!$A:$C,3,FALSE),"")</f>
        <v>26</v>
      </c>
      <c r="AB30" s="5">
        <f>IFERROR(VLOOKUP($B30,'Shepshed 7'!$A:$C,3,FALSE),"")</f>
        <v>25</v>
      </c>
    </row>
    <row r="31" spans="1:28" x14ac:dyDescent="0.25">
      <c r="A31" s="42">
        <f ca="1">IFERROR(Table222[[#This Row],[Position]],"")</f>
        <v>29</v>
      </c>
      <c r="B31" s="18" t="s">
        <v>21</v>
      </c>
      <c r="C31" s="81">
        <f ca="1">IF(Table222[[#This Row],[Total races]]=0,0,(RANK(E31,$E$3:$E$63)+COUNTIF(E31:$E$57,E31)-1))</f>
        <v>29</v>
      </c>
      <c r="D31" s="5">
        <f>COUNTIF(F31:AB31,"&gt;=0")</f>
        <v>3</v>
      </c>
      <c r="E31" s="5">
        <f t="array" aca="1" ref="E31" ca="1">IF(Table222[[#This Row],[Total races]]&lt;11,SUM(Table222[[#This Row],[Derby 5k]:[Shepshed 7]]),SUM(LARGE(F31:AB31,ROW(INDIRECT("1:10")))))+Table222[[#This Row],[Total races]]*3</f>
        <v>60</v>
      </c>
      <c r="F31" s="5" t="str">
        <f>IFERROR(VLOOKUP(B31,'Derby 5K'!$M$4:$V$15,10,FALSE),"")</f>
        <v/>
      </c>
      <c r="G31" s="5" t="str">
        <f>IFERROR(VLOOKUP(B31,'Grace Dieu XC'!$A:$C,3,FALSE),"")</f>
        <v/>
      </c>
      <c r="H31" s="5" t="str">
        <f>IFERROR(VLOOKUP(B31,'Bosworth XC'!$A:$C,3,FALSE),"")</f>
        <v/>
      </c>
      <c r="I31" s="5">
        <f>IFERROR(VLOOKUP($B31,'Kibworth 6'!$A:$C,3,FALSE),"")</f>
        <v>23</v>
      </c>
      <c r="J31" s="5" t="str">
        <f>IFERROR(VLOOKUP($B31,'Ivanhoe 20'!$A:$C,3,FALSE),"")</f>
        <v/>
      </c>
      <c r="K31" s="5" t="str">
        <f>IFERROR(VLOOKUP($B31,'Run In Forest'!$A:$C,3,FALSE),"")</f>
        <v/>
      </c>
      <c r="L31" s="5" t="str">
        <f>IFERROR(VLOOKUP($B31,'Stilton 7'!$A:$C,3,FALSE),"")</f>
        <v/>
      </c>
      <c r="M31" s="5" t="str">
        <f>IFERROR(VLOOKUP($B31,'Uttoxeter HM'!$A:$C,3,FALSE),"")</f>
        <v/>
      </c>
      <c r="N31" s="5" t="str">
        <f>IFERROR(VLOOKUP($B31,'Bosworth HM'!$A:$C,3,FALSE),"")</f>
        <v/>
      </c>
      <c r="O31" s="5">
        <f>IFERROR(VLOOKUP($B31,'West End 8'!$A:$C,3,FALSE),"")</f>
        <v>18</v>
      </c>
      <c r="P31" s="5" t="str">
        <f>IFERROR(VLOOKUP($B31,'Swithland 6'!$A:$C,3,FALSE),"")</f>
        <v/>
      </c>
      <c r="Q31" s="5">
        <f>IFERROR(VLOOKUP($B31,'Washlands Relays'!$A:$C,3,FALSE),"")</f>
        <v>10</v>
      </c>
      <c r="R31" s="5" t="str">
        <f>IFERROR(VLOOKUP($B31,'Tara Kinder 10K'!$A:$C,3,FALSE),"")</f>
        <v/>
      </c>
      <c r="S31" s="5" t="str">
        <f>IFERROR(VLOOKUP($B31,'Worthington 6'!$A:$C,3,FALSE),"")</f>
        <v/>
      </c>
      <c r="T31" s="5" t="str">
        <f>IFERROR(VLOOKUP($B31,'Joy Cann 5'!$A:$C,3,FALSE),"")</f>
        <v/>
      </c>
      <c r="U31" s="5" t="str">
        <f>IFERROR(VLOOKUP($B31,'Burton 10k'!$A:$C,3,FALSE),"")</f>
        <v/>
      </c>
      <c r="V31" s="5" t="str">
        <f>IFERROR(VLOOKUP($B31,'Rotherby 8'!$A:$C,3,FALSE),"")</f>
        <v/>
      </c>
      <c r="W31" s="5" t="str">
        <f>IFERROR(VLOOKUP($B31,'Lichfield 10k'!$A:$C,3,FALSE),"")</f>
        <v/>
      </c>
      <c r="X31" s="5" t="str">
        <f>IFERROR(VLOOKUP($B31,'Adrian Smith'!$A:$C,3,FALSE),"")</f>
        <v/>
      </c>
      <c r="Y31" s="5" t="str">
        <f>IFERROR(VLOOKUP($B31,'Tamworth 5'!$A:$C,3,FALSE),"")</f>
        <v/>
      </c>
      <c r="Z31" s="31" t="str">
        <f>IFERROR(VLOOKUP($B31,'Bagworth XC'!$A:$C,3,FALSE),"")</f>
        <v/>
      </c>
      <c r="AA31" s="5" t="str">
        <f>IFERROR(VLOOKUP($B31,'Markfield 10k'!$A:$C,3,FALSE),"")</f>
        <v/>
      </c>
      <c r="AB31" s="5" t="str">
        <f>IFERROR(VLOOKUP($B31,'Shepshed 7'!$A:$C,3,FALSE),"")</f>
        <v/>
      </c>
    </row>
    <row r="32" spans="1:28" x14ac:dyDescent="0.25">
      <c r="A32" s="42">
        <f ca="1">IFERROR(Table222[[#This Row],[Position]],"")</f>
        <v>30</v>
      </c>
      <c r="B32" s="18" t="s">
        <v>135</v>
      </c>
      <c r="C32" s="81">
        <f ca="1">IF(Table222[[#This Row],[Total races]]=0,0,(RANK(E32,$E$3:$E$63)+COUNTIF(E32:$E$57,E32)-1))</f>
        <v>30</v>
      </c>
      <c r="D32" s="5">
        <f>COUNTIF(F32:AB32,"&gt;=0")</f>
        <v>2</v>
      </c>
      <c r="E32" s="5">
        <f t="array" aca="1" ref="E32" ca="1">IF(Table222[[#This Row],[Total races]]&lt;11,SUM(Table222[[#This Row],[Derby 5k]:[Shepshed 7]]),SUM(LARGE(F32:AB32,ROW(INDIRECT("1:10")))))+Table222[[#This Row],[Total races]]*3</f>
        <v>56</v>
      </c>
      <c r="F32" s="5" t="str">
        <f>IFERROR(VLOOKUP(B32,'Derby 5K'!$M$4:$V$15,10,FALSE),"")</f>
        <v/>
      </c>
      <c r="G32" s="5">
        <f>IFERROR(VLOOKUP(B32,'Grace Dieu XC'!$A:$C,3,FALSE),"")</f>
        <v>27</v>
      </c>
      <c r="H32" s="5" t="str">
        <f>IFERROR(VLOOKUP(B32,'Bosworth XC'!$A:$C,3,FALSE),"")</f>
        <v/>
      </c>
      <c r="I32" s="5" t="str">
        <f>IFERROR(VLOOKUP($B32,'Kibworth 6'!$A:$C,3,FALSE),"")</f>
        <v/>
      </c>
      <c r="J32" s="5" t="str">
        <f>IFERROR(VLOOKUP($B32,'Ivanhoe 20'!$A:$C,3,FALSE),"")</f>
        <v/>
      </c>
      <c r="K32" s="5" t="str">
        <f>IFERROR(VLOOKUP($B32,'Run In Forest'!$A:$C,3,FALSE),"")</f>
        <v/>
      </c>
      <c r="L32" s="5" t="str">
        <f>IFERROR(VLOOKUP($B32,'Stilton 7'!$A:$C,3,FALSE),"")</f>
        <v/>
      </c>
      <c r="M32" s="5" t="str">
        <f>IFERROR(VLOOKUP($B32,'Uttoxeter HM'!$A:$C,3,FALSE),"")</f>
        <v/>
      </c>
      <c r="N32" s="5" t="str">
        <f>IFERROR(VLOOKUP($B32,'Bosworth HM'!$A:$C,3,FALSE),"")</f>
        <v/>
      </c>
      <c r="O32" s="5" t="str">
        <f>IFERROR(VLOOKUP($B32,'West End 8'!$A:$C,3,FALSE),"")</f>
        <v/>
      </c>
      <c r="P32" s="5" t="str">
        <f>IFERROR(VLOOKUP($B32,'Swithland 6'!$A:$C,3,FALSE),"")</f>
        <v/>
      </c>
      <c r="Q32" s="5" t="str">
        <f>IFERROR(VLOOKUP($B32,'Washlands Relays'!$A:$C,3,FALSE),"")</f>
        <v/>
      </c>
      <c r="R32" s="5" t="str">
        <f>IFERROR(VLOOKUP($B32,'Tara Kinder 10K'!$A:$C,3,FALSE),"")</f>
        <v/>
      </c>
      <c r="S32" s="5" t="str">
        <f>IFERROR(VLOOKUP($B32,'Worthington 6'!$A:$C,3,FALSE),"")</f>
        <v/>
      </c>
      <c r="T32" s="5" t="str">
        <f>IFERROR(VLOOKUP($B32,'Joy Cann 5'!$A:$C,3,FALSE),"")</f>
        <v/>
      </c>
      <c r="U32" s="5" t="str">
        <f>IFERROR(VLOOKUP($B32,'Burton 10k'!$A:$C,3,FALSE),"")</f>
        <v/>
      </c>
      <c r="V32" s="5" t="str">
        <f>IFERROR(VLOOKUP($B32,'Rotherby 8'!$A:$C,3,FALSE),"")</f>
        <v/>
      </c>
      <c r="W32" s="5" t="str">
        <f>IFERROR(VLOOKUP($B32,'Lichfield 10k'!$A:$C,3,FALSE),"")</f>
        <v/>
      </c>
      <c r="X32" s="5" t="str">
        <f>IFERROR(VLOOKUP($B32,'Adrian Smith'!$A:$C,3,FALSE),"")</f>
        <v/>
      </c>
      <c r="Y32" s="5" t="str">
        <f>IFERROR(VLOOKUP($B32,'Tamworth 5'!$A:$C,3,FALSE),"")</f>
        <v/>
      </c>
      <c r="Z32" s="31">
        <f>IFERROR(VLOOKUP($B32,'Bagworth XC'!$A:$C,3,FALSE),"")</f>
        <v>23</v>
      </c>
      <c r="AA32" s="5" t="str">
        <f>IFERROR(VLOOKUP($B32,'Markfield 10k'!$A:$C,3,FALSE),"")</f>
        <v/>
      </c>
      <c r="AB32" s="5" t="str">
        <f>IFERROR(VLOOKUP($B32,'Shepshed 7'!$A:$C,3,FALSE),"")</f>
        <v/>
      </c>
    </row>
    <row r="33" spans="1:28" x14ac:dyDescent="0.25">
      <c r="A33" s="42">
        <f ca="1">IFERROR(Table222[[#This Row],[Position]],"")</f>
        <v>31</v>
      </c>
      <c r="B33" s="18" t="s">
        <v>391</v>
      </c>
      <c r="C33" s="81">
        <f ca="1">IF(Table222[[#This Row],[Total races]]=0,0,(RANK(E33,$E$3:$E$63)+COUNTIF(E33:$E$57,E33)-1))</f>
        <v>31</v>
      </c>
      <c r="D33" s="5">
        <f>COUNTIF(F33:AB33,"&gt;=0")</f>
        <v>2</v>
      </c>
      <c r="E33" s="5">
        <f t="array" aca="1" ref="E33" ca="1">IF(Table222[[#This Row],[Total races]]&lt;11,SUM(Table222[[#This Row],[Derby 5k]:[Shepshed 7]]),SUM(LARGE(F33:AB33,ROW(INDIRECT("1:10")))))+Table222[[#This Row],[Total races]]*3</f>
        <v>55</v>
      </c>
      <c r="F33" s="5" t="str">
        <f>IFERROR(VLOOKUP(B33,'Derby 5K'!$M$4:$V$15,10,FALSE),"")</f>
        <v/>
      </c>
      <c r="G33" s="5" t="str">
        <f>IFERROR(VLOOKUP(B33,'Grace Dieu XC'!$A:$C,3,FALSE),"")</f>
        <v/>
      </c>
      <c r="H33" s="5" t="str">
        <f>IFERROR(VLOOKUP(B33,'Bosworth XC'!$A:$C,3,FALSE),"")</f>
        <v/>
      </c>
      <c r="I33" s="5" t="str">
        <f>IFERROR(VLOOKUP($B33,'Kibworth 6'!$A:$C,3,FALSE),"")</f>
        <v/>
      </c>
      <c r="J33" s="5" t="str">
        <f>IFERROR(VLOOKUP($B33,'Ivanhoe 20'!$A:$C,3,FALSE),"")</f>
        <v/>
      </c>
      <c r="K33" s="5" t="str">
        <f>IFERROR(VLOOKUP($B33,'Run In Forest'!$A:$C,3,FALSE),"")</f>
        <v/>
      </c>
      <c r="L33" s="5" t="str">
        <f>IFERROR(VLOOKUP($B33,'Stilton 7'!$A:$C,3,FALSE),"")</f>
        <v/>
      </c>
      <c r="M33" s="5" t="str">
        <f>IFERROR(VLOOKUP($B33,'Uttoxeter HM'!$A:$C,3,FALSE),"")</f>
        <v/>
      </c>
      <c r="N33" s="5" t="str">
        <f>IFERROR(VLOOKUP($B33,'Bosworth HM'!$A:$C,3,FALSE),"")</f>
        <v/>
      </c>
      <c r="O33" s="5" t="str">
        <f>IFERROR(VLOOKUP($B33,'West End 8'!$A:$C,3,FALSE),"")</f>
        <v/>
      </c>
      <c r="P33" s="5" t="str">
        <f>IFERROR(VLOOKUP($B33,'Swithland 6'!$A:$C,3,FALSE),"")</f>
        <v/>
      </c>
      <c r="Q33" s="5" t="str">
        <f>IFERROR(VLOOKUP($B33,'Washlands Relays'!$A:$C,3,FALSE),"")</f>
        <v/>
      </c>
      <c r="R33" s="5" t="str">
        <f>IFERROR(VLOOKUP($B33,'Tara Kinder 10K'!$A:$C,3,FALSE),"")</f>
        <v/>
      </c>
      <c r="S33" s="5" t="str">
        <f>IFERROR(VLOOKUP($B33,'Worthington 6'!$A:$C,3,FALSE),"")</f>
        <v/>
      </c>
      <c r="T33" s="5" t="str">
        <f>IFERROR(VLOOKUP($B33,'Joy Cann 5'!$A:$C,3,FALSE),"")</f>
        <v/>
      </c>
      <c r="U33" s="5" t="str">
        <f>IFERROR(VLOOKUP($B33,'Burton 10k'!$A:$C,3,FALSE),"")</f>
        <v/>
      </c>
      <c r="V33" s="5" t="str">
        <f>IFERROR(VLOOKUP($B33,'Rotherby 8'!$A:$C,3,FALSE),"")</f>
        <v/>
      </c>
      <c r="W33" s="5">
        <f>IFERROR(VLOOKUP($B33,'Lichfield 10k'!$A:$C,3,FALSE),"")</f>
        <v>27</v>
      </c>
      <c r="X33" s="5">
        <f>IFERROR(VLOOKUP($B33,'Adrian Smith'!$A:$C,3,FALSE),"")</f>
        <v>22</v>
      </c>
      <c r="Y33" s="5" t="str">
        <f>IFERROR(VLOOKUP($B33,'Tamworth 5'!$A:$C,3,FALSE),"")</f>
        <v/>
      </c>
      <c r="Z33" s="31" t="str">
        <f>IFERROR(VLOOKUP($B33,'Bagworth XC'!$A:$C,3,FALSE),"")</f>
        <v/>
      </c>
      <c r="AA33" s="5" t="str">
        <f>IFERROR(VLOOKUP($B33,'Markfield 10k'!$A:$C,3,FALSE),"")</f>
        <v/>
      </c>
      <c r="AB33" s="5" t="str">
        <f>IFERROR(VLOOKUP($B33,'Shepshed 7'!$A:$C,3,FALSE),"")</f>
        <v/>
      </c>
    </row>
    <row r="34" spans="1:28" x14ac:dyDescent="0.25">
      <c r="A34" s="42">
        <f ca="1">IFERROR(Table222[[#This Row],[Position]],"")</f>
        <v>32</v>
      </c>
      <c r="B34" s="18" t="s">
        <v>379</v>
      </c>
      <c r="C34" s="81">
        <f ca="1">IF(Table222[[#This Row],[Total races]]=0,0,(RANK(E34,$E$3:$E$63)+COUNTIF(E34:$E$57,E34)-1))</f>
        <v>32</v>
      </c>
      <c r="D34" s="5">
        <f>COUNTIF(F34:AB34,"&gt;=0")</f>
        <v>2</v>
      </c>
      <c r="E34" s="5">
        <f t="array" aca="1" ref="E34" ca="1">IF(Table222[[#This Row],[Total races]]&lt;11,SUM(Table222[[#This Row],[Derby 5k]:[Shepshed 7]]),SUM(LARGE(F34:AB34,ROW(INDIRECT("1:10")))))+Table222[[#This Row],[Total races]]*3</f>
        <v>52</v>
      </c>
      <c r="F34" s="5" t="str">
        <f>IFERROR(VLOOKUP(B34,'Derby 5K'!$M$4:$V$15,10,FALSE),"")</f>
        <v/>
      </c>
      <c r="G34" s="5" t="str">
        <f>IFERROR(VLOOKUP(B34,'Grace Dieu XC'!$A:$C,3,FALSE),"")</f>
        <v/>
      </c>
      <c r="H34" s="5" t="str">
        <f>IFERROR(VLOOKUP(B34,'Bosworth XC'!$A:$C,3,FALSE),"")</f>
        <v/>
      </c>
      <c r="I34" s="5" t="str">
        <f>IFERROR(VLOOKUP($B34,'Kibworth 6'!$A:$C,3,FALSE),"")</f>
        <v/>
      </c>
      <c r="J34" s="5" t="str">
        <f>IFERROR(VLOOKUP($B34,'Ivanhoe 20'!$A:$C,3,FALSE),"")</f>
        <v/>
      </c>
      <c r="K34" s="5" t="str">
        <f>IFERROR(VLOOKUP($B34,'Run In Forest'!$A:$C,3,FALSE),"")</f>
        <v/>
      </c>
      <c r="L34" s="5" t="str">
        <f>IFERROR(VLOOKUP($B34,'Stilton 7'!$A:$C,3,FALSE),"")</f>
        <v/>
      </c>
      <c r="M34" s="5" t="str">
        <f>IFERROR(VLOOKUP($B34,'Uttoxeter HM'!$A:$C,3,FALSE),"")</f>
        <v/>
      </c>
      <c r="N34" s="5" t="str">
        <f>IFERROR(VLOOKUP($B34,'Bosworth HM'!$A:$C,3,FALSE),"")</f>
        <v/>
      </c>
      <c r="O34" s="5" t="str">
        <f>IFERROR(VLOOKUP($B34,'West End 8'!$A:$C,3,FALSE),"")</f>
        <v/>
      </c>
      <c r="P34" s="5" t="str">
        <f>IFERROR(VLOOKUP($B34,'Swithland 6'!$A:$C,3,FALSE),"")</f>
        <v/>
      </c>
      <c r="Q34" s="5" t="str">
        <f>IFERROR(VLOOKUP($B34,'Washlands Relays'!$A:$C,3,FALSE),"")</f>
        <v/>
      </c>
      <c r="R34" s="5" t="str">
        <f>IFERROR(VLOOKUP($B34,'Tara Kinder 10K'!$A:$C,3,FALSE),"")</f>
        <v/>
      </c>
      <c r="S34" s="5" t="str">
        <f>IFERROR(VLOOKUP($B34,'Worthington 6'!$A:$C,3,FALSE),"")</f>
        <v/>
      </c>
      <c r="T34" s="5" t="str">
        <f>IFERROR(VLOOKUP($B34,'Joy Cann 5'!$A:$C,3,FALSE),"")</f>
        <v/>
      </c>
      <c r="U34" s="5">
        <f>IFERROR(VLOOKUP($B34,'Burton 10k'!$A:$C,3,FALSE),"")</f>
        <v>23</v>
      </c>
      <c r="V34" s="5" t="str">
        <f>IFERROR(VLOOKUP($B34,'Rotherby 8'!$A:$C,3,FALSE),"")</f>
        <v/>
      </c>
      <c r="W34" s="5" t="str">
        <f>IFERROR(VLOOKUP($B34,'Lichfield 10k'!$A:$C,3,FALSE),"")</f>
        <v/>
      </c>
      <c r="X34" s="5" t="str">
        <f>IFERROR(VLOOKUP($B34,'Adrian Smith'!$A:$C,3,FALSE),"")</f>
        <v/>
      </c>
      <c r="Y34" s="5">
        <f>IFERROR(VLOOKUP($B34,'Tamworth 5'!$A:$C,3,FALSE),"")</f>
        <v>23</v>
      </c>
      <c r="Z34" s="31" t="str">
        <f>IFERROR(VLOOKUP($B34,'Bagworth XC'!$A:$C,3,FALSE),"")</f>
        <v/>
      </c>
      <c r="AA34" s="5" t="str">
        <f>IFERROR(VLOOKUP($B34,'Markfield 10k'!$A:$C,3,FALSE),"")</f>
        <v/>
      </c>
      <c r="AB34" s="5" t="str">
        <f>IFERROR(VLOOKUP($B34,'Shepshed 7'!$A:$C,3,FALSE),"")</f>
        <v/>
      </c>
    </row>
    <row r="35" spans="1:28" x14ac:dyDescent="0.25">
      <c r="A35" s="42">
        <f ca="1">IFERROR(Table222[[#This Row],[Position]],"")</f>
        <v>33</v>
      </c>
      <c r="B35" s="18" t="s">
        <v>130</v>
      </c>
      <c r="C35" s="81">
        <f ca="1">IF(Table222[[#This Row],[Total races]]=0,0,(RANK(E35,$E$3:$E$63)+COUNTIF(E35:$E$57,E35)-1))</f>
        <v>33</v>
      </c>
      <c r="D35" s="5">
        <f>COUNTIF(F35:AB35,"&gt;=0")</f>
        <v>2</v>
      </c>
      <c r="E35" s="5">
        <f t="array" aca="1" ref="E35" ca="1">IF(Table222[[#This Row],[Total races]]&lt;11,SUM(Table222[[#This Row],[Derby 5k]:[Shepshed 7]]),SUM(LARGE(F35:AB35,ROW(INDIRECT("1:10")))))+Table222[[#This Row],[Total races]]*3</f>
        <v>51</v>
      </c>
      <c r="F35" s="5" t="str">
        <f>IFERROR(VLOOKUP(B35,'Derby 5K'!$M$4:$V$15,10,FALSE),"")</f>
        <v/>
      </c>
      <c r="G35" s="5" t="str">
        <f>IFERROR(VLOOKUP(B35,'Grace Dieu XC'!$A:$C,3,FALSE),"")</f>
        <v/>
      </c>
      <c r="H35" s="5" t="str">
        <f>IFERROR(VLOOKUP(B35,'Bosworth XC'!$A:$C,3,FALSE),"")</f>
        <v/>
      </c>
      <c r="I35" s="5" t="str">
        <f>IFERROR(VLOOKUP($B35,'Kibworth 6'!$A:$C,3,FALSE),"")</f>
        <v/>
      </c>
      <c r="J35" s="5">
        <f>IFERROR(VLOOKUP($B35,'Ivanhoe 20'!$A:$C,3,FALSE),"")</f>
        <v>19</v>
      </c>
      <c r="K35" s="5" t="str">
        <f>IFERROR(VLOOKUP($B35,'Run In Forest'!$A:$C,3,FALSE),"")</f>
        <v/>
      </c>
      <c r="L35" s="5" t="str">
        <f>IFERROR(VLOOKUP($B35,'Stilton 7'!$A:$C,3,FALSE),"")</f>
        <v/>
      </c>
      <c r="M35" s="5" t="str">
        <f>IFERROR(VLOOKUP($B35,'Uttoxeter HM'!$A:$C,3,FALSE),"")</f>
        <v/>
      </c>
      <c r="N35" s="5" t="str">
        <f>IFERROR(VLOOKUP($B35,'Bosworth HM'!$A:$C,3,FALSE),"")</f>
        <v/>
      </c>
      <c r="O35" s="5" t="str">
        <f>IFERROR(VLOOKUP($B35,'West End 8'!$A:$C,3,FALSE),"")</f>
        <v/>
      </c>
      <c r="P35" s="5" t="str">
        <f>IFERROR(VLOOKUP($B35,'Swithland 6'!$A:$C,3,FALSE),"")</f>
        <v/>
      </c>
      <c r="Q35" s="5" t="str">
        <f>IFERROR(VLOOKUP($B35,'Washlands Relays'!$A:$C,3,FALSE),"")</f>
        <v/>
      </c>
      <c r="R35" s="5" t="str">
        <f>IFERROR(VLOOKUP($B35,'Tara Kinder 10K'!$A:$C,3,FALSE),"")</f>
        <v/>
      </c>
      <c r="S35" s="5" t="str">
        <f>IFERROR(VLOOKUP($B35,'Worthington 6'!$A:$C,3,FALSE),"")</f>
        <v/>
      </c>
      <c r="T35" s="5">
        <f>IFERROR(VLOOKUP($B35,'Joy Cann 5'!$A:$C,3,FALSE),"")</f>
        <v>26</v>
      </c>
      <c r="U35" s="5" t="str">
        <f>IFERROR(VLOOKUP($B35,'Burton 10k'!$A:$C,3,FALSE),"")</f>
        <v/>
      </c>
      <c r="V35" s="5" t="str">
        <f>IFERROR(VLOOKUP($B35,'Rotherby 8'!$A:$C,3,FALSE),"")</f>
        <v/>
      </c>
      <c r="W35" s="5" t="str">
        <f>IFERROR(VLOOKUP($B35,'Lichfield 10k'!$A:$C,3,FALSE),"")</f>
        <v/>
      </c>
      <c r="X35" s="5" t="str">
        <f>IFERROR(VLOOKUP($B35,'Adrian Smith'!$A:$C,3,FALSE),"")</f>
        <v/>
      </c>
      <c r="Y35" s="5" t="str">
        <f>IFERROR(VLOOKUP($B35,'Tamworth 5'!$A:$C,3,FALSE),"")</f>
        <v/>
      </c>
      <c r="Z35" s="31" t="str">
        <f>IFERROR(VLOOKUP($B35,'Bagworth XC'!$A:$C,3,FALSE),"")</f>
        <v/>
      </c>
      <c r="AA35" s="5" t="str">
        <f>IFERROR(VLOOKUP($B35,'Markfield 10k'!$A:$C,3,FALSE),"")</f>
        <v/>
      </c>
      <c r="AB35" s="5" t="str">
        <f>IFERROR(VLOOKUP($B35,'Shepshed 7'!$A:$C,3,FALSE),"")</f>
        <v/>
      </c>
    </row>
    <row r="36" spans="1:28" x14ac:dyDescent="0.25">
      <c r="A36" s="42">
        <f ca="1">IFERROR(Table222[[#This Row],[Position]],"")</f>
        <v>34</v>
      </c>
      <c r="B36" s="18" t="s">
        <v>85</v>
      </c>
      <c r="C36" s="81">
        <f ca="1">IF(Table222[[#This Row],[Total races]]=0,0,(RANK(E36,$E$3:$E$63)+COUNTIF(E36:$E$57,E36)-1))</f>
        <v>34</v>
      </c>
      <c r="D36" s="5">
        <f>COUNTIF(F36:AB36,"&gt;=0")</f>
        <v>3</v>
      </c>
      <c r="E36" s="5">
        <f t="array" aca="1" ref="E36" ca="1">IF(Table222[[#This Row],[Total races]]&lt;11,SUM(Table222[[#This Row],[Derby 5k]:[Shepshed 7]]),SUM(LARGE(F36:AB36,ROW(INDIRECT("1:10")))))+Table222[[#This Row],[Total races]]*3</f>
        <v>48</v>
      </c>
      <c r="F36" s="5" t="str">
        <f>IFERROR(VLOOKUP(B36,'Derby 5K'!$M$4:$V$15,10,FALSE),"")</f>
        <v/>
      </c>
      <c r="G36" s="5" t="str">
        <f>IFERROR(VLOOKUP(B36,'Grace Dieu XC'!$A:$C,3,FALSE),"")</f>
        <v/>
      </c>
      <c r="H36" s="5" t="str">
        <f>IFERROR(VLOOKUP(B36,'Bosworth XC'!$A:$C,3,FALSE),"")</f>
        <v/>
      </c>
      <c r="I36" s="5" t="str">
        <f>IFERROR(VLOOKUP($B36,'Kibworth 6'!$A:$C,3,FALSE),"")</f>
        <v/>
      </c>
      <c r="J36" s="5" t="str">
        <f>IFERROR(VLOOKUP($B36,'Ivanhoe 20'!$A:$C,3,FALSE),"")</f>
        <v/>
      </c>
      <c r="K36" s="5" t="str">
        <f>IFERROR(VLOOKUP($B36,'Run In Forest'!$A:$C,3,FALSE),"")</f>
        <v/>
      </c>
      <c r="L36" s="5" t="str">
        <f>IFERROR(VLOOKUP($B36,'Stilton 7'!$A:$C,3,FALSE),"")</f>
        <v/>
      </c>
      <c r="M36" s="5" t="str">
        <f>IFERROR(VLOOKUP($B36,'Uttoxeter HM'!$A:$C,3,FALSE),"")</f>
        <v/>
      </c>
      <c r="N36" s="5" t="str">
        <f>IFERROR(VLOOKUP($B36,'Bosworth HM'!$A:$C,3,FALSE),"")</f>
        <v/>
      </c>
      <c r="O36" s="5" t="str">
        <f>IFERROR(VLOOKUP($B36,'West End 8'!$A:$C,3,FALSE),"")</f>
        <v/>
      </c>
      <c r="P36" s="5" t="str">
        <f>IFERROR(VLOOKUP($B36,'Swithland 6'!$A:$C,3,FALSE),"")</f>
        <v/>
      </c>
      <c r="Q36" s="5">
        <f>IFERROR(VLOOKUP($B36,'Washlands Relays'!$A:$C,3,FALSE),"")</f>
        <v>0</v>
      </c>
      <c r="R36" s="5" t="str">
        <f>IFERROR(VLOOKUP($B36,'Tara Kinder 10K'!$A:$C,3,FALSE),"")</f>
        <v/>
      </c>
      <c r="S36" s="5" t="str">
        <f>IFERROR(VLOOKUP($B36,'Worthington 6'!$A:$C,3,FALSE),"")</f>
        <v/>
      </c>
      <c r="T36" s="5" t="str">
        <f>IFERROR(VLOOKUP($B36,'Joy Cann 5'!$A:$C,3,FALSE),"")</f>
        <v/>
      </c>
      <c r="U36" s="5" t="str">
        <f>IFERROR(VLOOKUP($B36,'Burton 10k'!$A:$C,3,FALSE),"")</f>
        <v/>
      </c>
      <c r="V36" s="5" t="str">
        <f>IFERROR(VLOOKUP($B36,'Rotherby 8'!$A:$C,3,FALSE),"")</f>
        <v/>
      </c>
      <c r="W36" s="5" t="str">
        <f>IFERROR(VLOOKUP($B36,'Lichfield 10k'!$A:$C,3,FALSE),"")</f>
        <v/>
      </c>
      <c r="X36" s="5">
        <f>IFERROR(VLOOKUP($B36,'Adrian Smith'!$A:$C,3,FALSE),"")</f>
        <v>20</v>
      </c>
      <c r="Y36" s="5" t="str">
        <f>IFERROR(VLOOKUP($B36,'Tamworth 5'!$A:$C,3,FALSE),"")</f>
        <v/>
      </c>
      <c r="Z36" s="31">
        <f>IFERROR(VLOOKUP($B36,'Bagworth XC'!$A:$C,3,FALSE),"")</f>
        <v>19</v>
      </c>
      <c r="AA36" s="5" t="str">
        <f>IFERROR(VLOOKUP($B36,'Markfield 10k'!$A:$C,3,FALSE),"")</f>
        <v/>
      </c>
      <c r="AB36" s="5" t="str">
        <f>IFERROR(VLOOKUP($B36,'Shepshed 7'!$A:$C,3,FALSE),"")</f>
        <v/>
      </c>
    </row>
    <row r="37" spans="1:28" x14ac:dyDescent="0.25">
      <c r="A37" s="42">
        <f ca="1">IFERROR(Table222[[#This Row],[Position]],"")</f>
        <v>35</v>
      </c>
      <c r="B37" s="18" t="s">
        <v>36</v>
      </c>
      <c r="C37" s="81">
        <f ca="1">IF(Table222[[#This Row],[Total races]]=0,0,(RANK(E37,$E$3:$E$63)+COUNTIF(E37:$E$57,E37)-1))</f>
        <v>35</v>
      </c>
      <c r="D37" s="5">
        <f>COUNTIF(F37:AB37,"&gt;=0")</f>
        <v>2</v>
      </c>
      <c r="E37" s="5">
        <f t="array" aca="1" ref="E37" ca="1">IF(Table222[[#This Row],[Total races]]&lt;11,SUM(Table222[[#This Row],[Derby 5k]:[Shepshed 7]]),SUM(LARGE(F37:AB37,ROW(INDIRECT("1:10")))))+Table222[[#This Row],[Total races]]*3</f>
        <v>46</v>
      </c>
      <c r="F37" s="5" t="str">
        <f>IFERROR(VLOOKUP(B37,'Derby 5K'!$M$4:$V$15,10,FALSE),"")</f>
        <v/>
      </c>
      <c r="G37" s="5" t="str">
        <f>IFERROR(VLOOKUP(B37,'Grace Dieu XC'!$A:$C,3,FALSE),"")</f>
        <v/>
      </c>
      <c r="H37" s="5" t="str">
        <f>IFERROR(VLOOKUP(B37,'Bosworth XC'!$A:$C,3,FALSE),"")</f>
        <v/>
      </c>
      <c r="I37" s="5" t="str">
        <f>IFERROR(VLOOKUP($B37,'Kibworth 6'!$A:$C,3,FALSE),"")</f>
        <v/>
      </c>
      <c r="J37" s="5">
        <f>IFERROR(VLOOKUP($B37,'Ivanhoe 20'!$A:$C,3,FALSE),"")</f>
        <v>21</v>
      </c>
      <c r="K37" s="5" t="str">
        <f>IFERROR(VLOOKUP($B37,'Run In Forest'!$A:$C,3,FALSE),"")</f>
        <v/>
      </c>
      <c r="L37" s="5" t="str">
        <f>IFERROR(VLOOKUP($B37,'Stilton 7'!$A:$C,3,FALSE),"")</f>
        <v/>
      </c>
      <c r="M37" s="5" t="str">
        <f>IFERROR(VLOOKUP($B37,'Uttoxeter HM'!$A:$C,3,FALSE),"")</f>
        <v/>
      </c>
      <c r="N37" s="5" t="str">
        <f>IFERROR(VLOOKUP($B37,'Bosworth HM'!$A:$C,3,FALSE),"")</f>
        <v/>
      </c>
      <c r="O37" s="5" t="str">
        <f>IFERROR(VLOOKUP($B37,'West End 8'!$A:$C,3,FALSE),"")</f>
        <v/>
      </c>
      <c r="P37" s="5" t="str">
        <f>IFERROR(VLOOKUP($B37,'Swithland 6'!$A:$C,3,FALSE),"")</f>
        <v/>
      </c>
      <c r="Q37" s="5">
        <f>IFERROR(VLOOKUP($B37,'Washlands Relays'!$A:$C,3,FALSE),"")</f>
        <v>19</v>
      </c>
      <c r="R37" s="5" t="str">
        <f>IFERROR(VLOOKUP($B37,'Tara Kinder 10K'!$A:$C,3,FALSE),"")</f>
        <v/>
      </c>
      <c r="S37" s="5" t="str">
        <f>IFERROR(VLOOKUP($B37,'Worthington 6'!$A:$C,3,FALSE),"")</f>
        <v/>
      </c>
      <c r="T37" s="5" t="str">
        <f>IFERROR(VLOOKUP($B37,'Joy Cann 5'!$A:$C,3,FALSE),"")</f>
        <v/>
      </c>
      <c r="U37" s="5" t="str">
        <f>IFERROR(VLOOKUP($B37,'Burton 10k'!$A:$C,3,FALSE),"")</f>
        <v/>
      </c>
      <c r="V37" s="5" t="str">
        <f>IFERROR(VLOOKUP($B37,'Rotherby 8'!$A:$C,3,FALSE),"")</f>
        <v/>
      </c>
      <c r="W37" s="5" t="str">
        <f>IFERROR(VLOOKUP($B37,'Lichfield 10k'!$A:$C,3,FALSE),"")</f>
        <v/>
      </c>
      <c r="X37" s="5" t="str">
        <f>IFERROR(VLOOKUP($B37,'Adrian Smith'!$A:$C,3,FALSE),"")</f>
        <v/>
      </c>
      <c r="Y37" s="5" t="str">
        <f>IFERROR(VLOOKUP($B37,'Tamworth 5'!$A:$C,3,FALSE),"")</f>
        <v/>
      </c>
      <c r="Z37" s="31" t="str">
        <f>IFERROR(VLOOKUP($B37,'Bagworth XC'!$A:$C,3,FALSE),"")</f>
        <v/>
      </c>
      <c r="AA37" s="5" t="str">
        <f>IFERROR(VLOOKUP($B37,'Markfield 10k'!$A:$C,3,FALSE),"")</f>
        <v/>
      </c>
      <c r="AB37" s="5" t="str">
        <f>IFERROR(VLOOKUP($B37,'Shepshed 7'!$A:$C,3,FALSE),"")</f>
        <v/>
      </c>
    </row>
    <row r="38" spans="1:28" x14ac:dyDescent="0.25">
      <c r="A38" s="42">
        <f ca="1">IFERROR(Table222[[#This Row],[Position]],"")</f>
        <v>36</v>
      </c>
      <c r="B38" s="18" t="s">
        <v>122</v>
      </c>
      <c r="C38" s="81">
        <f ca="1">IF(Table222[[#This Row],[Total races]]=0,0,(RANK(E38,$E$3:$E$63)+COUNTIF(E38:$E$57,E38)-1))</f>
        <v>36</v>
      </c>
      <c r="D38" s="5">
        <f>COUNTIF(F38:AB38,"&gt;=0")</f>
        <v>2</v>
      </c>
      <c r="E38" s="5">
        <f t="array" aca="1" ref="E38" ca="1">IF(Table222[[#This Row],[Total races]]&lt;11,SUM(Table222[[#This Row],[Derby 5k]:[Shepshed 7]]),SUM(LARGE(F38:AB38,ROW(INDIRECT("1:10")))))+Table222[[#This Row],[Total races]]*3</f>
        <v>45</v>
      </c>
      <c r="F38" s="5" t="str">
        <f>IFERROR(VLOOKUP(B38,'Derby 5K'!$M$4:$V$15,10,FALSE),"")</f>
        <v/>
      </c>
      <c r="G38" s="5" t="str">
        <f>IFERROR(VLOOKUP(B38,'Grace Dieu XC'!$A:$C,3,FALSE),"")</f>
        <v/>
      </c>
      <c r="H38" s="5" t="str">
        <f>IFERROR(VLOOKUP(B38,'Bosworth XC'!$A:$C,3,FALSE),"")</f>
        <v/>
      </c>
      <c r="I38" s="5" t="str">
        <f>IFERROR(VLOOKUP($B38,'Kibworth 6'!$A:$C,3,FALSE),"")</f>
        <v/>
      </c>
      <c r="J38" s="5" t="str">
        <f>IFERROR(VLOOKUP($B38,'Ivanhoe 20'!$A:$C,3,FALSE),"")</f>
        <v/>
      </c>
      <c r="K38" s="5" t="str">
        <f>IFERROR(VLOOKUP($B38,'Run In Forest'!$A:$C,3,FALSE),"")</f>
        <v/>
      </c>
      <c r="L38" s="5" t="str">
        <f>IFERROR(VLOOKUP($B38,'Stilton 7'!$A:$C,3,FALSE),"")</f>
        <v/>
      </c>
      <c r="M38" s="5" t="str">
        <f>IFERROR(VLOOKUP($B38,'Uttoxeter HM'!$A:$C,3,FALSE),"")</f>
        <v/>
      </c>
      <c r="N38" s="5">
        <f>IFERROR(VLOOKUP($B38,'Bosworth HM'!$A:$C,3,FALSE),"")</f>
        <v>23</v>
      </c>
      <c r="O38" s="5" t="str">
        <f>IFERROR(VLOOKUP($B38,'West End 8'!$A:$C,3,FALSE),"")</f>
        <v/>
      </c>
      <c r="P38" s="5" t="str">
        <f>IFERROR(VLOOKUP($B38,'Swithland 6'!$A:$C,3,FALSE),"")</f>
        <v/>
      </c>
      <c r="Q38" s="5">
        <f>IFERROR(VLOOKUP($B38,'Washlands Relays'!$A:$C,3,FALSE),"")</f>
        <v>16</v>
      </c>
      <c r="R38" s="5" t="str">
        <f>IFERROR(VLOOKUP($B38,'Tara Kinder 10K'!$A:$C,3,FALSE),"")</f>
        <v/>
      </c>
      <c r="S38" s="5" t="str">
        <f>IFERROR(VLOOKUP($B38,'Worthington 6'!$A:$C,3,FALSE),"")</f>
        <v/>
      </c>
      <c r="T38" s="5" t="str">
        <f>IFERROR(VLOOKUP($B38,'Joy Cann 5'!$A:$C,3,FALSE),"")</f>
        <v/>
      </c>
      <c r="U38" s="5" t="str">
        <f>IFERROR(VLOOKUP($B38,'Burton 10k'!$A:$C,3,FALSE),"")</f>
        <v/>
      </c>
      <c r="V38" s="5" t="str">
        <f>IFERROR(VLOOKUP($B38,'Rotherby 8'!$A:$C,3,FALSE),"")</f>
        <v/>
      </c>
      <c r="W38" s="5" t="str">
        <f>IFERROR(VLOOKUP($B38,'Lichfield 10k'!$A:$C,3,FALSE),"")</f>
        <v/>
      </c>
      <c r="X38" s="5" t="str">
        <f>IFERROR(VLOOKUP($B38,'Adrian Smith'!$A:$C,3,FALSE),"")</f>
        <v/>
      </c>
      <c r="Y38" s="5" t="str">
        <f>IFERROR(VLOOKUP($B38,'Tamworth 5'!$A:$C,3,FALSE),"")</f>
        <v/>
      </c>
      <c r="Z38" s="31" t="str">
        <f>IFERROR(VLOOKUP($B38,'Bagworth XC'!$A:$C,3,FALSE),"")</f>
        <v/>
      </c>
      <c r="AA38" s="5" t="str">
        <f>IFERROR(VLOOKUP($B38,'Markfield 10k'!$A:$C,3,FALSE),"")</f>
        <v/>
      </c>
      <c r="AB38" s="5" t="str">
        <f>IFERROR(VLOOKUP($B38,'Shepshed 7'!$A:$C,3,FALSE),"")</f>
        <v/>
      </c>
    </row>
    <row r="39" spans="1:28" x14ac:dyDescent="0.25">
      <c r="A39" s="42">
        <f ca="1">IFERROR(Table222[[#This Row],[Position]],"")</f>
        <v>37</v>
      </c>
      <c r="B39" s="18" t="s">
        <v>192</v>
      </c>
      <c r="C39" s="81">
        <f ca="1">IF(Table222[[#This Row],[Total races]]=0,0,(RANK(E39,$E$3:$E$63)+COUNTIF(E39:$E$57,E39)-1))</f>
        <v>37</v>
      </c>
      <c r="D39" s="5">
        <f>COUNTIF(F39:AB39,"&gt;=0")</f>
        <v>1</v>
      </c>
      <c r="E39" s="5">
        <f t="array" aca="1" ref="E39" ca="1">IF(Table222[[#This Row],[Total races]]&lt;11,SUM(Table222[[#This Row],[Derby 5k]:[Shepshed 7]]),SUM(LARGE(F39:AB39,ROW(INDIRECT("1:10")))))+Table222[[#This Row],[Total races]]*3</f>
        <v>33</v>
      </c>
      <c r="F39" s="5" t="str">
        <f>IFERROR(VLOOKUP(B39,'Derby 5K'!$M$4:$V$15,10,FALSE),"")</f>
        <v/>
      </c>
      <c r="G39" s="5" t="str">
        <f>IFERROR(VLOOKUP(B39,'Grace Dieu XC'!$A:$C,3,FALSE),"")</f>
        <v/>
      </c>
      <c r="H39" s="5" t="str">
        <f>IFERROR(VLOOKUP(B39,'Bosworth XC'!$A:$C,3,FALSE),"")</f>
        <v/>
      </c>
      <c r="I39" s="5" t="str">
        <f>IFERROR(VLOOKUP($B39,'Kibworth 6'!$A:$C,3,FALSE),"")</f>
        <v/>
      </c>
      <c r="J39" s="5">
        <f>IFERROR(VLOOKUP($B39,'Ivanhoe 20'!$A:$C,3,FALSE),"")</f>
        <v>30</v>
      </c>
      <c r="K39" s="5" t="str">
        <f>IFERROR(VLOOKUP($B39,'Run In Forest'!$A:$C,3,FALSE),"")</f>
        <v/>
      </c>
      <c r="L39" s="5" t="str">
        <f>IFERROR(VLOOKUP($B39,'Stilton 7'!$A:$C,3,FALSE),"")</f>
        <v/>
      </c>
      <c r="M39" s="5" t="str">
        <f>IFERROR(VLOOKUP($B39,'Uttoxeter HM'!$A:$C,3,FALSE),"")</f>
        <v/>
      </c>
      <c r="N39" s="5" t="str">
        <f>IFERROR(VLOOKUP($B39,'Bosworth HM'!$A:$C,3,FALSE),"")</f>
        <v/>
      </c>
      <c r="O39" s="5" t="str">
        <f>IFERROR(VLOOKUP($B39,'West End 8'!$A:$C,3,FALSE),"")</f>
        <v/>
      </c>
      <c r="P39" s="5" t="str">
        <f>IFERROR(VLOOKUP($B39,'Swithland 6'!$A:$C,3,FALSE),"")</f>
        <v/>
      </c>
      <c r="Q39" s="5" t="str">
        <f>IFERROR(VLOOKUP($B39,'Washlands Relays'!$A:$C,3,FALSE),"")</f>
        <v/>
      </c>
      <c r="R39" s="5" t="str">
        <f>IFERROR(VLOOKUP($B39,'Tara Kinder 10K'!$A:$C,3,FALSE),"")</f>
        <v/>
      </c>
      <c r="S39" s="5" t="str">
        <f>IFERROR(VLOOKUP($B39,'Worthington 6'!$A:$C,3,FALSE),"")</f>
        <v/>
      </c>
      <c r="T39" s="5" t="str">
        <f>IFERROR(VLOOKUP($B39,'Joy Cann 5'!$A:$C,3,FALSE),"")</f>
        <v/>
      </c>
      <c r="U39" s="5" t="str">
        <f>IFERROR(VLOOKUP($B39,'Burton 10k'!$A:$C,3,FALSE),"")</f>
        <v/>
      </c>
      <c r="V39" s="5" t="str">
        <f>IFERROR(VLOOKUP($B39,'Rotherby 8'!$A:$C,3,FALSE),"")</f>
        <v/>
      </c>
      <c r="W39" s="5" t="str">
        <f>IFERROR(VLOOKUP($B39,'Lichfield 10k'!$A:$C,3,FALSE),"")</f>
        <v/>
      </c>
      <c r="X39" s="5" t="str">
        <f>IFERROR(VLOOKUP($B39,'Adrian Smith'!$A:$C,3,FALSE),"")</f>
        <v/>
      </c>
      <c r="Y39" s="5" t="str">
        <f>IFERROR(VLOOKUP($B39,'Tamworth 5'!$A:$C,3,FALSE),"")</f>
        <v/>
      </c>
      <c r="Z39" s="31" t="str">
        <f>IFERROR(VLOOKUP($B39,'Bagworth XC'!$A:$C,3,FALSE),"")</f>
        <v/>
      </c>
      <c r="AA39" s="5" t="str">
        <f>IFERROR(VLOOKUP($B39,'Markfield 10k'!$A:$C,3,FALSE),"")</f>
        <v/>
      </c>
      <c r="AB39" s="5" t="str">
        <f>IFERROR(VLOOKUP($B39,'Shepshed 7'!$A:$C,3,FALSE),"")</f>
        <v/>
      </c>
    </row>
    <row r="40" spans="1:28" x14ac:dyDescent="0.25">
      <c r="A40" s="42">
        <f ca="1">IFERROR(Table222[[#This Row],[Position]],"")</f>
        <v>40</v>
      </c>
      <c r="B40" s="18" t="s">
        <v>105</v>
      </c>
      <c r="C40" s="81">
        <f ca="1">IF(Table222[[#This Row],[Total races]]=0,0,(RANK(E40,$E$3:$E$63)+COUNTIF(E40:$E$57,E40)-1))</f>
        <v>40</v>
      </c>
      <c r="D40" s="5">
        <f>COUNTIF(F40:AB40,"&gt;=0")</f>
        <v>1</v>
      </c>
      <c r="E40" s="5">
        <f t="array" aca="1" ref="E40" ca="1">IF(Table222[[#This Row],[Total races]]&lt;11,SUM(Table222[[#This Row],[Derby 5k]:[Shepshed 7]]),SUM(LARGE(F40:AB40,ROW(INDIRECT("1:10")))))+Table222[[#This Row],[Total races]]*3</f>
        <v>32</v>
      </c>
      <c r="F40" s="5" t="str">
        <f>IFERROR(VLOOKUP(B40,'Derby 5K'!$M$4:$V$15,10,FALSE),"")</f>
        <v/>
      </c>
      <c r="G40" s="5" t="str">
        <f>IFERROR(VLOOKUP(B40,'Grace Dieu XC'!$A:$C,3,FALSE),"")</f>
        <v/>
      </c>
      <c r="H40" s="5" t="str">
        <f>IFERROR(VLOOKUP(B40,'Bosworth XC'!$A:$C,3,FALSE),"")</f>
        <v/>
      </c>
      <c r="I40" s="5" t="str">
        <f>IFERROR(VLOOKUP($B40,'Kibworth 6'!$A:$C,3,FALSE),"")</f>
        <v/>
      </c>
      <c r="J40" s="5">
        <f>IFERROR(VLOOKUP($B40,'Ivanhoe 20'!$A:$C,3,FALSE),"")</f>
        <v>29</v>
      </c>
      <c r="K40" s="5" t="str">
        <f>IFERROR(VLOOKUP($B40,'Run In Forest'!$A:$C,3,FALSE),"")</f>
        <v/>
      </c>
      <c r="L40" s="5" t="str">
        <f>IFERROR(VLOOKUP($B40,'Stilton 7'!$A:$C,3,FALSE),"")</f>
        <v/>
      </c>
      <c r="M40" s="5" t="str">
        <f>IFERROR(VLOOKUP($B40,'Uttoxeter HM'!$A:$C,3,FALSE),"")</f>
        <v/>
      </c>
      <c r="N40" s="5" t="str">
        <f>IFERROR(VLOOKUP($B40,'Bosworth HM'!$A:$C,3,FALSE),"")</f>
        <v/>
      </c>
      <c r="O40" s="5" t="str">
        <f>IFERROR(VLOOKUP($B40,'West End 8'!$A:$C,3,FALSE),"")</f>
        <v/>
      </c>
      <c r="P40" s="5" t="str">
        <f>IFERROR(VLOOKUP($B40,'Swithland 6'!$A:$C,3,FALSE),"")</f>
        <v/>
      </c>
      <c r="Q40" s="5" t="str">
        <f>IFERROR(VLOOKUP($B40,'Washlands Relays'!$A:$C,3,FALSE),"")</f>
        <v/>
      </c>
      <c r="R40" s="5" t="str">
        <f>IFERROR(VLOOKUP($B40,'Tara Kinder 10K'!$A:$C,3,FALSE),"")</f>
        <v/>
      </c>
      <c r="S40" s="5" t="str">
        <f>IFERROR(VLOOKUP($B40,'Worthington 6'!$A:$C,3,FALSE),"")</f>
        <v/>
      </c>
      <c r="T40" s="5" t="str">
        <f>IFERROR(VLOOKUP($B40,'Joy Cann 5'!$A:$C,3,FALSE),"")</f>
        <v/>
      </c>
      <c r="U40" s="5" t="str">
        <f>IFERROR(VLOOKUP($B40,'Burton 10k'!$A:$C,3,FALSE),"")</f>
        <v/>
      </c>
      <c r="V40" s="5" t="str">
        <f>IFERROR(VLOOKUP($B40,'Rotherby 8'!$A:$C,3,FALSE),"")</f>
        <v/>
      </c>
      <c r="W40" s="5" t="str">
        <f>IFERROR(VLOOKUP($B40,'Lichfield 10k'!$A:$C,3,FALSE),"")</f>
        <v/>
      </c>
      <c r="X40" s="5" t="str">
        <f>IFERROR(VLOOKUP($B40,'Adrian Smith'!$A:$C,3,FALSE),"")</f>
        <v/>
      </c>
      <c r="Y40" s="5" t="str">
        <f>IFERROR(VLOOKUP($B40,'Tamworth 5'!$A:$C,3,FALSE),"")</f>
        <v/>
      </c>
      <c r="Z40" s="31" t="str">
        <f>IFERROR(VLOOKUP($B40,'Bagworth XC'!$A:$C,3,FALSE),"")</f>
        <v/>
      </c>
      <c r="AA40" s="5" t="str">
        <f>IFERROR(VLOOKUP($B40,'Markfield 10k'!$A:$C,3,FALSE),"")</f>
        <v/>
      </c>
      <c r="AB40" s="5" t="str">
        <f>IFERROR(VLOOKUP($B40,'Shepshed 7'!$A:$C,3,FALSE),"")</f>
        <v/>
      </c>
    </row>
    <row r="41" spans="1:28" x14ac:dyDescent="0.25">
      <c r="A41" s="42">
        <f ca="1">IFERROR(Table222[[#This Row],[Position]],"")</f>
        <v>39</v>
      </c>
      <c r="B41" s="18" t="s">
        <v>11</v>
      </c>
      <c r="C41" s="81">
        <f ca="1">IF(Table222[[#This Row],[Total races]]=0,0,(RANK(E41,$E$3:$E$63)+COUNTIF(E41:$E$57,E41)-1))</f>
        <v>39</v>
      </c>
      <c r="D41" s="5">
        <f>COUNTIF(F41:AB41,"&gt;=0")</f>
        <v>1</v>
      </c>
      <c r="E41" s="5">
        <f t="array" aca="1" ref="E41" ca="1">IF(Table222[[#This Row],[Total races]]&lt;11,SUM(Table222[[#This Row],[Derby 5k]:[Shepshed 7]]),SUM(LARGE(F41:AB41,ROW(INDIRECT("1:10")))))+Table222[[#This Row],[Total races]]*3</f>
        <v>32</v>
      </c>
      <c r="F41" s="5" t="str">
        <f>IFERROR(VLOOKUP(B41,'Derby 5K'!$M$4:$V$15,10,FALSE),"")</f>
        <v/>
      </c>
      <c r="G41" s="5" t="str">
        <f>IFERROR(VLOOKUP(B41,'Grace Dieu XC'!$A:$C,3,FALSE),"")</f>
        <v/>
      </c>
      <c r="H41" s="5" t="str">
        <f>IFERROR(VLOOKUP(B41,'Bosworth XC'!$A:$C,3,FALSE),"")</f>
        <v/>
      </c>
      <c r="I41" s="5" t="str">
        <f>IFERROR(VLOOKUP($B41,'Kibworth 6'!$A:$C,3,FALSE),"")</f>
        <v/>
      </c>
      <c r="J41" s="5" t="str">
        <f>IFERROR(VLOOKUP($B41,'Ivanhoe 20'!$A:$C,3,FALSE),"")</f>
        <v/>
      </c>
      <c r="K41" s="5" t="str">
        <f>IFERROR(VLOOKUP($B41,'Run In Forest'!$A:$C,3,FALSE),"")</f>
        <v/>
      </c>
      <c r="L41" s="5" t="str">
        <f>IFERROR(VLOOKUP($B41,'Stilton 7'!$A:$C,3,FALSE),"")</f>
        <v/>
      </c>
      <c r="M41" s="5" t="str">
        <f>IFERROR(VLOOKUP($B41,'Uttoxeter HM'!$A:$C,3,FALSE),"")</f>
        <v/>
      </c>
      <c r="N41" s="5" t="str">
        <f>IFERROR(VLOOKUP($B41,'Bosworth HM'!$A:$C,3,FALSE),"")</f>
        <v/>
      </c>
      <c r="O41" s="5" t="str">
        <f>IFERROR(VLOOKUP($B41,'West End 8'!$A:$C,3,FALSE),"")</f>
        <v/>
      </c>
      <c r="P41" s="5" t="str">
        <f>IFERROR(VLOOKUP($B41,'Swithland 6'!$A:$C,3,FALSE),"")</f>
        <v/>
      </c>
      <c r="Q41" s="5" t="str">
        <f>IFERROR(VLOOKUP($B41,'Washlands Relays'!$A:$C,3,FALSE),"")</f>
        <v/>
      </c>
      <c r="R41" s="5" t="str">
        <f>IFERROR(VLOOKUP($B41,'Tara Kinder 10K'!$A:$C,3,FALSE),"")</f>
        <v/>
      </c>
      <c r="S41" s="5" t="str">
        <f>IFERROR(VLOOKUP($B41,'Worthington 6'!$A:$C,3,FALSE),"")</f>
        <v/>
      </c>
      <c r="T41" s="5" t="str">
        <f>IFERROR(VLOOKUP($B41,'Joy Cann 5'!$A:$C,3,FALSE),"")</f>
        <v/>
      </c>
      <c r="U41" s="5" t="str">
        <f>IFERROR(VLOOKUP($B41,'Burton 10k'!$A:$C,3,FALSE),"")</f>
        <v/>
      </c>
      <c r="V41" s="5" t="str">
        <f>IFERROR(VLOOKUP($B41,'Rotherby 8'!$A:$C,3,FALSE),"")</f>
        <v/>
      </c>
      <c r="W41" s="5" t="str">
        <f>IFERROR(VLOOKUP($B41,'Lichfield 10k'!$A:$C,3,FALSE),"")</f>
        <v/>
      </c>
      <c r="X41" s="5" t="str">
        <f>IFERROR(VLOOKUP($B41,'Adrian Smith'!$A:$C,3,FALSE),"")</f>
        <v/>
      </c>
      <c r="Y41" s="5" t="str">
        <f>IFERROR(VLOOKUP($B41,'Tamworth 5'!$A:$C,3,FALSE),"")</f>
        <v/>
      </c>
      <c r="Z41" s="31">
        <f>IFERROR(VLOOKUP($B41,'Bagworth XC'!$A:$C,3,FALSE),"")</f>
        <v>29</v>
      </c>
      <c r="AA41" s="5" t="str">
        <f>IFERROR(VLOOKUP($B41,'Markfield 10k'!$A:$C,3,FALSE),"")</f>
        <v/>
      </c>
      <c r="AB41" s="5" t="str">
        <f>IFERROR(VLOOKUP($B41,'Shepshed 7'!$A:$C,3,FALSE),"")</f>
        <v/>
      </c>
    </row>
    <row r="42" spans="1:28" x14ac:dyDescent="0.25">
      <c r="A42" s="42">
        <f ca="1">IFERROR(Table222[[#This Row],[Position]],"")</f>
        <v>38</v>
      </c>
      <c r="B42" s="18" t="s">
        <v>23</v>
      </c>
      <c r="C42" s="81">
        <f ca="1">IF(Table222[[#This Row],[Total races]]=0,0,(RANK(E42,$E$3:$E$63)+COUNTIF(E42:$E$57,E42)-1))</f>
        <v>38</v>
      </c>
      <c r="D42" s="5">
        <f>COUNTIF(F42:AB42,"&gt;=0")</f>
        <v>2</v>
      </c>
      <c r="E42" s="5">
        <f t="array" aca="1" ref="E42" ca="1">IF(Table222[[#This Row],[Total races]]&lt;11,SUM(Table222[[#This Row],[Derby 5k]:[Shepshed 7]]),SUM(LARGE(F42:AB42,ROW(INDIRECT("1:10")))))+Table222[[#This Row],[Total races]]*3</f>
        <v>32</v>
      </c>
      <c r="F42" s="5" t="str">
        <f>IFERROR(VLOOKUP(B42,'Derby 5K'!$M$4:$V$15,10,FALSE),"")</f>
        <v/>
      </c>
      <c r="G42" s="5" t="str">
        <f>IFERROR(VLOOKUP(B42,'Grace Dieu XC'!$A:$C,3,FALSE),"")</f>
        <v/>
      </c>
      <c r="H42" s="5" t="str">
        <f>IFERROR(VLOOKUP(B42,'Bosworth XC'!$A:$C,3,FALSE),"")</f>
        <v/>
      </c>
      <c r="I42" s="5" t="str">
        <f>IFERROR(VLOOKUP($B42,'Kibworth 6'!$A:$C,3,FALSE),"")</f>
        <v/>
      </c>
      <c r="J42" s="5" t="str">
        <f>IFERROR(VLOOKUP($B42,'Ivanhoe 20'!$A:$C,3,FALSE),"")</f>
        <v/>
      </c>
      <c r="K42" s="5" t="str">
        <f>IFERROR(VLOOKUP($B42,'Run In Forest'!$A:$C,3,FALSE),"")</f>
        <v/>
      </c>
      <c r="L42" s="5" t="str">
        <f>IFERROR(VLOOKUP($B42,'Stilton 7'!$A:$C,3,FALSE),"")</f>
        <v/>
      </c>
      <c r="M42" s="5" t="str">
        <f>IFERROR(VLOOKUP($B42,'Uttoxeter HM'!$A:$C,3,FALSE),"")</f>
        <v/>
      </c>
      <c r="N42" s="5" t="str">
        <f>IFERROR(VLOOKUP($B42,'Bosworth HM'!$A:$C,3,FALSE),"")</f>
        <v/>
      </c>
      <c r="O42" s="5" t="str">
        <f>IFERROR(VLOOKUP($B42,'West End 8'!$A:$C,3,FALSE),"")</f>
        <v/>
      </c>
      <c r="P42" s="5" t="str">
        <f>IFERROR(VLOOKUP($B42,'Swithland 6'!$A:$C,3,FALSE),"")</f>
        <v/>
      </c>
      <c r="Q42" s="5">
        <f>IFERROR(VLOOKUP($B42,'Washlands Relays'!$A:$C,3,FALSE),"")</f>
        <v>0</v>
      </c>
      <c r="R42" s="5" t="str">
        <f>IFERROR(VLOOKUP($B42,'Tara Kinder 10K'!$A:$C,3,FALSE),"")</f>
        <v/>
      </c>
      <c r="S42" s="5" t="str">
        <f>IFERROR(VLOOKUP($B42,'Worthington 6'!$A:$C,3,FALSE),"")</f>
        <v/>
      </c>
      <c r="T42" s="5" t="str">
        <f>IFERROR(VLOOKUP($B42,'Joy Cann 5'!$A:$C,3,FALSE),"")</f>
        <v/>
      </c>
      <c r="U42" s="5" t="str">
        <f>IFERROR(VLOOKUP($B42,'Burton 10k'!$A:$C,3,FALSE),"")</f>
        <v/>
      </c>
      <c r="V42" s="5" t="str">
        <f>IFERROR(VLOOKUP($B42,'Rotherby 8'!$A:$C,3,FALSE),"")</f>
        <v/>
      </c>
      <c r="W42" s="5" t="str">
        <f>IFERROR(VLOOKUP($B42,'Lichfield 10k'!$A:$C,3,FALSE),"")</f>
        <v/>
      </c>
      <c r="X42" s="5" t="str">
        <f>IFERROR(VLOOKUP($B42,'Adrian Smith'!$A:$C,3,FALSE),"")</f>
        <v/>
      </c>
      <c r="Y42" s="5" t="str">
        <f>IFERROR(VLOOKUP($B42,'Tamworth 5'!$A:$C,3,FALSE),"")</f>
        <v/>
      </c>
      <c r="Z42" s="31" t="str">
        <f>IFERROR(VLOOKUP($B42,'Bagworth XC'!$A:$C,3,FALSE),"")</f>
        <v/>
      </c>
      <c r="AA42" s="5" t="str">
        <f>IFERROR(VLOOKUP($B42,'Markfield 10k'!$A:$C,3,FALSE),"")</f>
        <v/>
      </c>
      <c r="AB42" s="5">
        <f>IFERROR(VLOOKUP($B42,'Shepshed 7'!$A:$C,3,FALSE),"")</f>
        <v>26</v>
      </c>
    </row>
    <row r="43" spans="1:28" x14ac:dyDescent="0.25">
      <c r="A43" s="42">
        <f ca="1">IFERROR(Table222[[#This Row],[Position]],"")</f>
        <v>41</v>
      </c>
      <c r="B43" s="18" t="s">
        <v>185</v>
      </c>
      <c r="C43" s="81">
        <f ca="1">IF(Table222[[#This Row],[Total races]]=0,0,(RANK(E43,$E$3:$E$63)+COUNTIF(E43:$E$57,E43)-1))</f>
        <v>41</v>
      </c>
      <c r="D43" s="5">
        <f>COUNTIF(F43:AB43,"&gt;=0")</f>
        <v>1</v>
      </c>
      <c r="E43" s="5">
        <f t="array" aca="1" ref="E43" ca="1">IF(Table222[[#This Row],[Total races]]&lt;11,SUM(Table222[[#This Row],[Derby 5k]:[Shepshed 7]]),SUM(LARGE(F43:AB43,ROW(INDIRECT("1:10")))))+Table222[[#This Row],[Total races]]*3</f>
        <v>31</v>
      </c>
      <c r="F43" s="5" t="str">
        <f>IFERROR(VLOOKUP(B43,'Derby 5K'!$M$4:$V$15,10,FALSE),"")</f>
        <v/>
      </c>
      <c r="G43" s="5" t="str">
        <f>IFERROR(VLOOKUP(B43,'Grace Dieu XC'!$A:$C,3,FALSE),"")</f>
        <v/>
      </c>
      <c r="H43" s="5">
        <f>IFERROR(VLOOKUP(B43,'Bosworth XC'!$A:$C,3,FALSE),"")</f>
        <v>28</v>
      </c>
      <c r="I43" s="5" t="str">
        <f>IFERROR(VLOOKUP($B43,'Kibworth 6'!$A:$C,3,FALSE),"")</f>
        <v/>
      </c>
      <c r="J43" s="5" t="str">
        <f>IFERROR(VLOOKUP($B43,'Ivanhoe 20'!$A:$C,3,FALSE),"")</f>
        <v/>
      </c>
      <c r="K43" s="5" t="str">
        <f>IFERROR(VLOOKUP($B43,'Run In Forest'!$A:$C,3,FALSE),"")</f>
        <v/>
      </c>
      <c r="L43" s="5" t="str">
        <f>IFERROR(VLOOKUP($B43,'Stilton 7'!$A:$C,3,FALSE),"")</f>
        <v/>
      </c>
      <c r="M43" s="5" t="str">
        <f>IFERROR(VLOOKUP($B43,'Uttoxeter HM'!$A:$C,3,FALSE),"")</f>
        <v/>
      </c>
      <c r="N43" s="5" t="str">
        <f>IFERROR(VLOOKUP($B43,'Bosworth HM'!$A:$C,3,FALSE),"")</f>
        <v/>
      </c>
      <c r="O43" s="5" t="str">
        <f>IFERROR(VLOOKUP($B43,'West End 8'!$A:$C,3,FALSE),"")</f>
        <v/>
      </c>
      <c r="P43" s="5" t="str">
        <f>IFERROR(VLOOKUP($B43,'Swithland 6'!$A:$C,3,FALSE),"")</f>
        <v/>
      </c>
      <c r="Q43" s="5" t="str">
        <f>IFERROR(VLOOKUP($B43,'Washlands Relays'!$A:$C,3,FALSE),"")</f>
        <v/>
      </c>
      <c r="R43" s="5" t="str">
        <f>IFERROR(VLOOKUP($B43,'Tara Kinder 10K'!$A:$C,3,FALSE),"")</f>
        <v/>
      </c>
      <c r="S43" s="5" t="str">
        <f>IFERROR(VLOOKUP($B43,'Worthington 6'!$A:$C,3,FALSE),"")</f>
        <v/>
      </c>
      <c r="T43" s="5" t="str">
        <f>IFERROR(VLOOKUP($B43,'Joy Cann 5'!$A:$C,3,FALSE),"")</f>
        <v/>
      </c>
      <c r="U43" s="5" t="str">
        <f>IFERROR(VLOOKUP($B43,'Burton 10k'!$A:$C,3,FALSE),"")</f>
        <v/>
      </c>
      <c r="V43" s="5" t="str">
        <f>IFERROR(VLOOKUP($B43,'Rotherby 8'!$A:$C,3,FALSE),"")</f>
        <v/>
      </c>
      <c r="W43" s="5" t="str">
        <f>IFERROR(VLOOKUP($B43,'Lichfield 10k'!$A:$C,3,FALSE),"")</f>
        <v/>
      </c>
      <c r="X43" s="5" t="str">
        <f>IFERROR(VLOOKUP($B43,'Adrian Smith'!$A:$C,3,FALSE),"")</f>
        <v/>
      </c>
      <c r="Y43" s="5" t="str">
        <f>IFERROR(VLOOKUP($B43,'Tamworth 5'!$A:$C,3,FALSE),"")</f>
        <v/>
      </c>
      <c r="Z43" s="31" t="str">
        <f>IFERROR(VLOOKUP($B43,'Bagworth XC'!$A:$C,3,FALSE),"")</f>
        <v/>
      </c>
      <c r="AA43" s="5" t="str">
        <f>IFERROR(VLOOKUP($B43,'Markfield 10k'!$A:$C,3,FALSE),"")</f>
        <v/>
      </c>
      <c r="AB43" s="5" t="str">
        <f>IFERROR(VLOOKUP($B43,'Shepshed 7'!$A:$C,3,FALSE),"")</f>
        <v/>
      </c>
    </row>
    <row r="44" spans="1:28" x14ac:dyDescent="0.25">
      <c r="A44" s="42">
        <f ca="1">IFERROR(Table222[[#This Row],[Position]],"")</f>
        <v>43</v>
      </c>
      <c r="B44" s="18" t="s">
        <v>134</v>
      </c>
      <c r="C44" s="81">
        <f ca="1">IF(Table222[[#This Row],[Total races]]=0,0,(RANK(E44,$E$3:$E$63)+COUNTIF(E44:$E$57,E44)-1))</f>
        <v>43</v>
      </c>
      <c r="D44" s="5">
        <f>COUNTIF(F44:AB44,"&gt;=0")</f>
        <v>1</v>
      </c>
      <c r="E44" s="5">
        <f t="array" aca="1" ref="E44" ca="1">IF(Table222[[#This Row],[Total races]]&lt;11,SUM(Table222[[#This Row],[Derby 5k]:[Shepshed 7]]),SUM(LARGE(F44:AB44,ROW(INDIRECT("1:10")))))+Table222[[#This Row],[Total races]]*3</f>
        <v>30</v>
      </c>
      <c r="F44" s="5" t="str">
        <f>IFERROR(VLOOKUP(B44,'Derby 5K'!$M$4:$V$15,10,FALSE),"")</f>
        <v/>
      </c>
      <c r="G44" s="5" t="str">
        <f>IFERROR(VLOOKUP(B44,'Grace Dieu XC'!$A:$C,3,FALSE),"")</f>
        <v/>
      </c>
      <c r="H44" s="5" t="str">
        <f>IFERROR(VLOOKUP(B44,'Bosworth XC'!$A:$C,3,FALSE),"")</f>
        <v/>
      </c>
      <c r="I44" s="5" t="str">
        <f>IFERROR(VLOOKUP($B44,'Kibworth 6'!$A:$C,3,FALSE),"")</f>
        <v/>
      </c>
      <c r="J44" s="5" t="str">
        <f>IFERROR(VLOOKUP($B44,'Ivanhoe 20'!$A:$C,3,FALSE),"")</f>
        <v/>
      </c>
      <c r="K44" s="5">
        <f>IFERROR(VLOOKUP($B44,'Run In Forest'!$A:$C,3,FALSE),"")</f>
        <v>27</v>
      </c>
      <c r="L44" s="5" t="str">
        <f>IFERROR(VLOOKUP($B44,'Stilton 7'!$A:$C,3,FALSE),"")</f>
        <v/>
      </c>
      <c r="M44" s="5" t="str">
        <f>IFERROR(VLOOKUP($B44,'Uttoxeter HM'!$A:$C,3,FALSE),"")</f>
        <v/>
      </c>
      <c r="N44" s="5" t="str">
        <f>IFERROR(VLOOKUP($B44,'Bosworth HM'!$A:$C,3,FALSE),"")</f>
        <v/>
      </c>
      <c r="O44" s="5" t="str">
        <f>IFERROR(VLOOKUP($B44,'West End 8'!$A:$C,3,FALSE),"")</f>
        <v/>
      </c>
      <c r="P44" s="5" t="str">
        <f>IFERROR(VLOOKUP($B44,'Swithland 6'!$A:$C,3,FALSE),"")</f>
        <v/>
      </c>
      <c r="Q44" s="5" t="str">
        <f>IFERROR(VLOOKUP($B44,'Washlands Relays'!$A:$C,3,FALSE),"")</f>
        <v/>
      </c>
      <c r="R44" s="5" t="str">
        <f>IFERROR(VLOOKUP($B44,'Tara Kinder 10K'!$A:$C,3,FALSE),"")</f>
        <v/>
      </c>
      <c r="S44" s="5" t="str">
        <f>IFERROR(VLOOKUP($B44,'Worthington 6'!$A:$C,3,FALSE),"")</f>
        <v/>
      </c>
      <c r="T44" s="5" t="str">
        <f>IFERROR(VLOOKUP($B44,'Joy Cann 5'!$A:$C,3,FALSE),"")</f>
        <v/>
      </c>
      <c r="U44" s="5" t="str">
        <f>IFERROR(VLOOKUP($B44,'Burton 10k'!$A:$C,3,FALSE),"")</f>
        <v/>
      </c>
      <c r="V44" s="5" t="str">
        <f>IFERROR(VLOOKUP($B44,'Rotherby 8'!$A:$C,3,FALSE),"")</f>
        <v/>
      </c>
      <c r="W44" s="5" t="str">
        <f>IFERROR(VLOOKUP($B44,'Lichfield 10k'!$A:$C,3,FALSE),"")</f>
        <v/>
      </c>
      <c r="X44" s="5" t="str">
        <f>IFERROR(VLOOKUP($B44,'Adrian Smith'!$A:$C,3,FALSE),"")</f>
        <v/>
      </c>
      <c r="Y44" s="5" t="str">
        <f>IFERROR(VLOOKUP($B44,'Tamworth 5'!$A:$C,3,FALSE),"")</f>
        <v/>
      </c>
      <c r="Z44" s="31" t="str">
        <f>IFERROR(VLOOKUP($B44,'Bagworth XC'!$A:$C,3,FALSE),"")</f>
        <v/>
      </c>
      <c r="AA44" s="5" t="str">
        <f>IFERROR(VLOOKUP($B44,'Markfield 10k'!$A:$C,3,FALSE),"")</f>
        <v/>
      </c>
      <c r="AB44" s="5" t="str">
        <f>IFERROR(VLOOKUP($B44,'Shepshed 7'!$A:$C,3,FALSE),"")</f>
        <v/>
      </c>
    </row>
    <row r="45" spans="1:28" x14ac:dyDescent="0.25">
      <c r="A45" s="42">
        <f ca="1">IFERROR(Table222[[#This Row],[Position]],"")</f>
        <v>42</v>
      </c>
      <c r="B45" s="18" t="s">
        <v>47</v>
      </c>
      <c r="C45" s="81">
        <f ca="1">IF(Table222[[#This Row],[Total races]]=0,0,(RANK(E45,$E$3:$E$63)+COUNTIF(E45:$E$57,E45)-1))</f>
        <v>42</v>
      </c>
      <c r="D45" s="5">
        <f>COUNTIF(F45:AB45,"&gt;=0")</f>
        <v>2</v>
      </c>
      <c r="E45" s="5">
        <f t="array" aca="1" ref="E45" ca="1">IF(Table222[[#This Row],[Total races]]&lt;11,SUM(Table222[[#This Row],[Derby 5k]:[Shepshed 7]]),SUM(LARGE(F45:AB45,ROW(INDIRECT("1:10")))))+Table222[[#This Row],[Total races]]*3</f>
        <v>30</v>
      </c>
      <c r="F45" s="5" t="str">
        <f>IFERROR(VLOOKUP(B45,'Derby 5K'!$M$4:$V$15,10,FALSE),"")</f>
        <v/>
      </c>
      <c r="G45" s="5" t="str">
        <f>IFERROR(VLOOKUP(B45,'Grace Dieu XC'!$A:$C,3,FALSE),"")</f>
        <v/>
      </c>
      <c r="H45" s="5" t="str">
        <f>IFERROR(VLOOKUP(B45,'Bosworth XC'!$A:$C,3,FALSE),"")</f>
        <v/>
      </c>
      <c r="I45" s="5" t="str">
        <f>IFERROR(VLOOKUP($B45,'Kibworth 6'!$A:$C,3,FALSE),"")</f>
        <v/>
      </c>
      <c r="J45" s="5">
        <f>IFERROR(VLOOKUP($B45,'Ivanhoe 20'!$A:$C,3,FALSE),"")</f>
        <v>18</v>
      </c>
      <c r="K45" s="5" t="str">
        <f>IFERROR(VLOOKUP($B45,'Run In Forest'!$A:$C,3,FALSE),"")</f>
        <v/>
      </c>
      <c r="L45" s="5" t="str">
        <f>IFERROR(VLOOKUP($B45,'Stilton 7'!$A:$C,3,FALSE),"")</f>
        <v/>
      </c>
      <c r="M45" s="5" t="str">
        <f>IFERROR(VLOOKUP($B45,'Uttoxeter HM'!$A:$C,3,FALSE),"")</f>
        <v/>
      </c>
      <c r="N45" s="5" t="str">
        <f>IFERROR(VLOOKUP($B45,'Bosworth HM'!$A:$C,3,FALSE),"")</f>
        <v/>
      </c>
      <c r="O45" s="5" t="str">
        <f>IFERROR(VLOOKUP($B45,'West End 8'!$A:$C,3,FALSE),"")</f>
        <v/>
      </c>
      <c r="P45" s="5" t="str">
        <f>IFERROR(VLOOKUP($B45,'Swithland 6'!$A:$C,3,FALSE),"")</f>
        <v/>
      </c>
      <c r="Q45" s="5">
        <f>IFERROR(VLOOKUP($B45,'Washlands Relays'!$A:$C,3,FALSE),"")</f>
        <v>6</v>
      </c>
      <c r="R45" s="5" t="str">
        <f>IFERROR(VLOOKUP($B45,'Tara Kinder 10K'!$A:$C,3,FALSE),"")</f>
        <v/>
      </c>
      <c r="S45" s="5" t="str">
        <f>IFERROR(VLOOKUP($B45,'Worthington 6'!$A:$C,3,FALSE),"")</f>
        <v/>
      </c>
      <c r="T45" s="5" t="str">
        <f>IFERROR(VLOOKUP($B45,'Joy Cann 5'!$A:$C,3,FALSE),"")</f>
        <v/>
      </c>
      <c r="U45" s="5" t="str">
        <f>IFERROR(VLOOKUP($B45,'Burton 10k'!$A:$C,3,FALSE),"")</f>
        <v/>
      </c>
      <c r="V45" s="5" t="str">
        <f>IFERROR(VLOOKUP($B45,'Rotherby 8'!$A:$C,3,FALSE),"")</f>
        <v/>
      </c>
      <c r="W45" s="5" t="str">
        <f>IFERROR(VLOOKUP($B45,'Lichfield 10k'!$A:$C,3,FALSE),"")</f>
        <v/>
      </c>
      <c r="X45" s="5" t="str">
        <f>IFERROR(VLOOKUP($B45,'Adrian Smith'!$A:$C,3,FALSE),"")</f>
        <v/>
      </c>
      <c r="Y45" s="5" t="str">
        <f>IFERROR(VLOOKUP($B45,'Tamworth 5'!$A:$C,3,FALSE),"")</f>
        <v/>
      </c>
      <c r="Z45" s="31" t="str">
        <f>IFERROR(VLOOKUP($B45,'Bagworth XC'!$A:$C,3,FALSE),"")</f>
        <v/>
      </c>
      <c r="AA45" s="5" t="str">
        <f>IFERROR(VLOOKUP($B45,'Markfield 10k'!$A:$C,3,FALSE),"")</f>
        <v/>
      </c>
      <c r="AB45" s="5" t="str">
        <f>IFERROR(VLOOKUP($B45,'Shepshed 7'!$A:$C,3,FALSE),"")</f>
        <v/>
      </c>
    </row>
    <row r="46" spans="1:28" x14ac:dyDescent="0.25">
      <c r="A46" s="42">
        <f ca="1">IFERROR(Table222[[#This Row],[Position]],"")</f>
        <v>44</v>
      </c>
      <c r="B46" s="18" t="s">
        <v>96</v>
      </c>
      <c r="C46" s="81">
        <f ca="1">IF(Table222[[#This Row],[Total races]]=0,0,(RANK(E46,$E$3:$E$63)+COUNTIF(E46:$E$57,E46)-1))</f>
        <v>44</v>
      </c>
      <c r="D46" s="5">
        <f>COUNTIF(F46:AB46,"&gt;=0")</f>
        <v>1</v>
      </c>
      <c r="E46" s="5">
        <f t="array" aca="1" ref="E46" ca="1">IF(Table222[[#This Row],[Total races]]&lt;11,SUM(Table222[[#This Row],[Derby 5k]:[Shepshed 7]]),SUM(LARGE(F46:AB46,ROW(INDIRECT("1:10")))))+Table222[[#This Row],[Total races]]*3</f>
        <v>29</v>
      </c>
      <c r="F46" s="5" t="str">
        <f>IFERROR(VLOOKUP(B46,'Derby 5K'!$M$4:$V$15,10,FALSE),"")</f>
        <v/>
      </c>
      <c r="G46" s="5" t="str">
        <f>IFERROR(VLOOKUP(B46,'Grace Dieu XC'!$A:$C,3,FALSE),"")</f>
        <v/>
      </c>
      <c r="H46" s="5" t="str">
        <f>IFERROR(VLOOKUP(B46,'Bosworth XC'!$A:$C,3,FALSE),"")</f>
        <v/>
      </c>
      <c r="I46" s="5" t="str">
        <f>IFERROR(VLOOKUP($B46,'Kibworth 6'!$A:$C,3,FALSE),"")</f>
        <v/>
      </c>
      <c r="J46" s="5" t="str">
        <f>IFERROR(VLOOKUP($B46,'Ivanhoe 20'!$A:$C,3,FALSE),"")</f>
        <v/>
      </c>
      <c r="K46" s="5" t="str">
        <f>IFERROR(VLOOKUP($B46,'Run In Forest'!$A:$C,3,FALSE),"")</f>
        <v/>
      </c>
      <c r="L46" s="5" t="str">
        <f>IFERROR(VLOOKUP($B46,'Stilton 7'!$A:$C,3,FALSE),"")</f>
        <v/>
      </c>
      <c r="M46" s="5" t="str">
        <f>IFERROR(VLOOKUP($B46,'Uttoxeter HM'!$A:$C,3,FALSE),"")</f>
        <v/>
      </c>
      <c r="N46" s="5" t="str">
        <f>IFERROR(VLOOKUP($B46,'Bosworth HM'!$A:$C,3,FALSE),"")</f>
        <v/>
      </c>
      <c r="O46" s="5" t="str">
        <f>IFERROR(VLOOKUP($B46,'West End 8'!$A:$C,3,FALSE),"")</f>
        <v/>
      </c>
      <c r="P46" s="5" t="str">
        <f>IFERROR(VLOOKUP($B46,'Swithland 6'!$A:$C,3,FALSE),"")</f>
        <v/>
      </c>
      <c r="Q46" s="5">
        <f>IFERROR(VLOOKUP($B46,'Washlands Relays'!$A:$C,3,FALSE),"")</f>
        <v>26</v>
      </c>
      <c r="R46" s="5" t="str">
        <f>IFERROR(VLOOKUP($B46,'Tara Kinder 10K'!$A:$C,3,FALSE),"")</f>
        <v/>
      </c>
      <c r="S46" s="5" t="str">
        <f>IFERROR(VLOOKUP($B46,'Worthington 6'!$A:$C,3,FALSE),"")</f>
        <v/>
      </c>
      <c r="T46" s="5" t="str">
        <f>IFERROR(VLOOKUP($B46,'Joy Cann 5'!$A:$C,3,FALSE),"")</f>
        <v/>
      </c>
      <c r="U46" s="5" t="str">
        <f>IFERROR(VLOOKUP($B46,'Burton 10k'!$A:$C,3,FALSE),"")</f>
        <v/>
      </c>
      <c r="V46" s="5" t="str">
        <f>IFERROR(VLOOKUP($B46,'Rotherby 8'!$A:$C,3,FALSE),"")</f>
        <v/>
      </c>
      <c r="W46" s="5" t="str">
        <f>IFERROR(VLOOKUP($B46,'Lichfield 10k'!$A:$C,3,FALSE),"")</f>
        <v/>
      </c>
      <c r="X46" s="5" t="str">
        <f>IFERROR(VLOOKUP($B46,'Adrian Smith'!$A:$C,3,FALSE),"")</f>
        <v/>
      </c>
      <c r="Y46" s="5" t="str">
        <f>IFERROR(VLOOKUP($B46,'Tamworth 5'!$A:$C,3,FALSE),"")</f>
        <v/>
      </c>
      <c r="Z46" s="31" t="str">
        <f>IFERROR(VLOOKUP($B46,'Bagworth XC'!$A:$C,3,FALSE),"")</f>
        <v/>
      </c>
      <c r="AA46" s="5" t="str">
        <f>IFERROR(VLOOKUP($B46,'Markfield 10k'!$A:$C,3,FALSE),"")</f>
        <v/>
      </c>
      <c r="AB46" s="5" t="str">
        <f>IFERROR(VLOOKUP($B46,'Shepshed 7'!$A:$C,3,FALSE),"")</f>
        <v/>
      </c>
    </row>
    <row r="47" spans="1:28" ht="15.75" thickBot="1" x14ac:dyDescent="0.3">
      <c r="A47" s="42">
        <f ca="1">IFERROR(Table222[[#This Row],[Position]],"")</f>
        <v>45</v>
      </c>
      <c r="B47" s="19" t="s">
        <v>63</v>
      </c>
      <c r="C47" s="81">
        <f ca="1">IF(Table222[[#This Row],[Total races]]=0,0,(RANK(E47,$E$3:$E$63)+COUNTIF(E47:$E$57,E47)-1))</f>
        <v>45</v>
      </c>
      <c r="D47" s="5">
        <f>COUNTIF(F47:AB47,"&gt;=0")</f>
        <v>2</v>
      </c>
      <c r="E47" s="5">
        <f t="array" aca="1" ref="E47" ca="1">IF(Table222[[#This Row],[Total races]]&lt;11,SUM(Table222[[#This Row],[Derby 5k]:[Shepshed 7]]),SUM(LARGE(F47:AB47,ROW(INDIRECT("1:10")))))+Table222[[#This Row],[Total races]]*3</f>
        <v>28</v>
      </c>
      <c r="F47" s="5" t="str">
        <f>IFERROR(VLOOKUP(B47,'Derby 5K'!$M$4:$V$15,10,FALSE),"")</f>
        <v/>
      </c>
      <c r="G47" s="5" t="str">
        <f>IFERROR(VLOOKUP(B47,'Grace Dieu XC'!$A:$C,3,FALSE),"")</f>
        <v/>
      </c>
      <c r="H47" s="5" t="str">
        <f>IFERROR(VLOOKUP(B47,'Bosworth XC'!$A:$C,3,FALSE),"")</f>
        <v/>
      </c>
      <c r="I47" s="5" t="str">
        <f>IFERROR(VLOOKUP($B47,'Kibworth 6'!$A:$C,3,FALSE),"")</f>
        <v/>
      </c>
      <c r="J47" s="5" t="str">
        <f>IFERROR(VLOOKUP($B47,'Ivanhoe 20'!$A:$C,3,FALSE),"")</f>
        <v/>
      </c>
      <c r="K47" s="5" t="str">
        <f>IFERROR(VLOOKUP($B47,'Run In Forest'!$A:$C,3,FALSE),"")</f>
        <v/>
      </c>
      <c r="L47" s="5" t="str">
        <f>IFERROR(VLOOKUP($B47,'Stilton 7'!$A:$C,3,FALSE),"")</f>
        <v/>
      </c>
      <c r="M47" s="5" t="str">
        <f>IFERROR(VLOOKUP($B47,'Uttoxeter HM'!$A:$C,3,FALSE),"")</f>
        <v/>
      </c>
      <c r="N47" s="5" t="str">
        <f>IFERROR(VLOOKUP($B47,'Bosworth HM'!$A:$C,3,FALSE),"")</f>
        <v/>
      </c>
      <c r="O47" s="5" t="str">
        <f>IFERROR(VLOOKUP($B47,'West End 8'!$A:$C,3,FALSE),"")</f>
        <v/>
      </c>
      <c r="P47" s="5">
        <f>IFERROR(VLOOKUP($B47,'Swithland 6'!$A:$C,3,FALSE),"")</f>
        <v>21</v>
      </c>
      <c r="Q47" s="5">
        <f>IFERROR(VLOOKUP($B47,'Washlands Relays'!$A:$C,3,FALSE),"")</f>
        <v>1</v>
      </c>
      <c r="R47" s="5" t="str">
        <f>IFERROR(VLOOKUP($B47,'Tara Kinder 10K'!$A:$C,3,FALSE),"")</f>
        <v/>
      </c>
      <c r="S47" s="5" t="str">
        <f>IFERROR(VLOOKUP($B47,'Worthington 6'!$A:$C,3,FALSE),"")</f>
        <v/>
      </c>
      <c r="T47" s="5" t="str">
        <f>IFERROR(VLOOKUP($B47,'Joy Cann 5'!$A:$C,3,FALSE),"")</f>
        <v/>
      </c>
      <c r="U47" s="5" t="str">
        <f>IFERROR(VLOOKUP($B47,'Burton 10k'!$A:$C,3,FALSE),"")</f>
        <v/>
      </c>
      <c r="V47" s="5" t="str">
        <f>IFERROR(VLOOKUP($B47,'Rotherby 8'!$A:$C,3,FALSE),"")</f>
        <v/>
      </c>
      <c r="W47" s="5" t="str">
        <f>IFERROR(VLOOKUP($B47,'Lichfield 10k'!$A:$C,3,FALSE),"")</f>
        <v/>
      </c>
      <c r="X47" s="5" t="str">
        <f>IFERROR(VLOOKUP($B47,'Adrian Smith'!$A:$C,3,FALSE),"")</f>
        <v/>
      </c>
      <c r="Y47" s="5" t="str">
        <f>IFERROR(VLOOKUP($B47,'Tamworth 5'!$A:$C,3,FALSE),"")</f>
        <v/>
      </c>
      <c r="Z47" s="31" t="str">
        <f>IFERROR(VLOOKUP($B47,'Bagworth XC'!$A:$C,3,FALSE),"")</f>
        <v/>
      </c>
      <c r="AA47" s="5" t="str">
        <f>IFERROR(VLOOKUP($B47,'Markfield 10k'!$A:$C,3,FALSE),"")</f>
        <v/>
      </c>
      <c r="AB47" s="5" t="str">
        <f>IFERROR(VLOOKUP($B47,'Shepshed 7'!$A:$C,3,FALSE),"")</f>
        <v/>
      </c>
    </row>
    <row r="48" spans="1:28" ht="15.75" thickBot="1" x14ac:dyDescent="0.3">
      <c r="A48" s="42">
        <f ca="1">IFERROR(Table222[[#This Row],[Position]],"")</f>
        <v>46</v>
      </c>
      <c r="B48" s="19" t="s">
        <v>330</v>
      </c>
      <c r="C48" s="81">
        <f ca="1">IF(Table222[[#This Row],[Total races]]=0,0,(RANK(E48,$E$3:$E$63)+COUNTIF(E48:$E$57,E48)-1))</f>
        <v>46</v>
      </c>
      <c r="D48" s="5">
        <f>COUNTIF(F48:AB48,"&gt;=0")</f>
        <v>1</v>
      </c>
      <c r="E48" s="5">
        <f t="array" aca="1" ref="E48" ca="1">IF(Table222[[#This Row],[Total races]]&lt;11,SUM(Table222[[#This Row],[Derby 5k]:[Shepshed 7]]),SUM(LARGE(F48:AB48,ROW(INDIRECT("1:10")))))+Table222[[#This Row],[Total races]]*3</f>
        <v>27</v>
      </c>
      <c r="F48" s="5" t="str">
        <f>IFERROR(VLOOKUP(B48,'Derby 5K'!$M$4:$V$15,10,FALSE),"")</f>
        <v/>
      </c>
      <c r="G48" s="5" t="str">
        <f>IFERROR(VLOOKUP(B48,'Grace Dieu XC'!$A:$C,3,FALSE),"")</f>
        <v/>
      </c>
      <c r="H48" s="5" t="str">
        <f>IFERROR(VLOOKUP(B48,'Bosworth XC'!$A:$C,3,FALSE),"")</f>
        <v/>
      </c>
      <c r="I48" s="5" t="str">
        <f>IFERROR(VLOOKUP($B48,'Kibworth 6'!$A:$C,3,FALSE),"")</f>
        <v/>
      </c>
      <c r="J48" s="5" t="str">
        <f>IFERROR(VLOOKUP($B48,'Ivanhoe 20'!$A:$C,3,FALSE),"")</f>
        <v/>
      </c>
      <c r="K48" s="5" t="str">
        <f>IFERROR(VLOOKUP($B48,'Run In Forest'!$A:$C,3,FALSE),"")</f>
        <v/>
      </c>
      <c r="L48" s="5" t="str">
        <f>IFERROR(VLOOKUP($B48,'Stilton 7'!$A:$C,3,FALSE),"")</f>
        <v/>
      </c>
      <c r="M48" s="5" t="str">
        <f>IFERROR(VLOOKUP($B48,'Uttoxeter HM'!$A:$C,3,FALSE),"")</f>
        <v/>
      </c>
      <c r="N48" s="5" t="str">
        <f>IFERROR(VLOOKUP($B48,'Bosworth HM'!$A:$C,3,FALSE),"")</f>
        <v/>
      </c>
      <c r="O48" s="5" t="str">
        <f>IFERROR(VLOOKUP($B48,'West End 8'!$A:$C,3,FALSE),"")</f>
        <v/>
      </c>
      <c r="P48" s="5" t="str">
        <f>IFERROR(VLOOKUP($B48,'Swithland 6'!$A:$C,3,FALSE),"")</f>
        <v/>
      </c>
      <c r="Q48" s="5">
        <f>IFERROR(VLOOKUP($B48,'Washlands Relays'!$A:$C,3,FALSE),"")</f>
        <v>24</v>
      </c>
      <c r="R48" s="5" t="str">
        <f>IFERROR(VLOOKUP($B48,'Tara Kinder 10K'!$A:$C,3,FALSE),"")</f>
        <v/>
      </c>
      <c r="S48" s="5" t="str">
        <f>IFERROR(VLOOKUP($B48,'Worthington 6'!$A:$C,3,FALSE),"")</f>
        <v/>
      </c>
      <c r="T48" s="5" t="str">
        <f>IFERROR(VLOOKUP($B48,'Joy Cann 5'!$A:$C,3,FALSE),"")</f>
        <v/>
      </c>
      <c r="U48" s="5" t="str">
        <f>IFERROR(VLOOKUP($B48,'Burton 10k'!$A:$C,3,FALSE),"")</f>
        <v/>
      </c>
      <c r="V48" s="5" t="str">
        <f>IFERROR(VLOOKUP($B48,'Rotherby 8'!$A:$C,3,FALSE),"")</f>
        <v/>
      </c>
      <c r="W48" s="5" t="str">
        <f>IFERROR(VLOOKUP($B48,'Lichfield 10k'!$A:$C,3,FALSE),"")</f>
        <v/>
      </c>
      <c r="X48" s="5" t="str">
        <f>IFERROR(VLOOKUP($B48,'Adrian Smith'!$A:$C,3,FALSE),"")</f>
        <v/>
      </c>
      <c r="Y48" s="5" t="str">
        <f>IFERROR(VLOOKUP($B48,'Tamworth 5'!$A:$C,3,FALSE),"")</f>
        <v/>
      </c>
      <c r="Z48" s="31" t="str">
        <f>IFERROR(VLOOKUP($B48,'Bagworth XC'!$A:$C,3,FALSE),"")</f>
        <v/>
      </c>
      <c r="AA48" s="5" t="str">
        <f>IFERROR(VLOOKUP($B48,'Markfield 10k'!$A:$C,3,FALSE),"")</f>
        <v/>
      </c>
      <c r="AB48" s="5" t="str">
        <f>IFERROR(VLOOKUP($B48,'Shepshed 7'!$A:$C,3,FALSE),"")</f>
        <v/>
      </c>
    </row>
    <row r="49" spans="1:28" ht="15.75" thickBot="1" x14ac:dyDescent="0.3">
      <c r="A49" s="42">
        <f ca="1">IFERROR(Table222[[#This Row],[Position]],"")</f>
        <v>47</v>
      </c>
      <c r="B49" s="19" t="s">
        <v>97</v>
      </c>
      <c r="C49" s="81">
        <f ca="1">IF(Table222[[#This Row],[Total races]]=0,0,(RANK(E49,$E$3:$E$63)+COUNTIF(E49:$E$57,E49)-1))</f>
        <v>47</v>
      </c>
      <c r="D49" s="5">
        <f>COUNTIF(F49:AB49,"&gt;=0")</f>
        <v>1</v>
      </c>
      <c r="E49" s="5">
        <f t="array" aca="1" ref="E49" ca="1">IF(Table222[[#This Row],[Total races]]&lt;11,SUM(Table222[[#This Row],[Derby 5k]:[Shepshed 7]]),SUM(LARGE(F49:AB49,ROW(INDIRECT("1:10")))))+Table222[[#This Row],[Total races]]*3</f>
        <v>25</v>
      </c>
      <c r="F49" s="5" t="str">
        <f>IFERROR(VLOOKUP(B49,'Derby 5K'!$M$4:$V$15,10,FALSE),"")</f>
        <v/>
      </c>
      <c r="G49" s="5" t="str">
        <f>IFERROR(VLOOKUP(B49,'Grace Dieu XC'!$A:$C,3,FALSE),"")</f>
        <v/>
      </c>
      <c r="H49" s="5" t="str">
        <f>IFERROR(VLOOKUP(B49,'Bosworth XC'!$A:$C,3,FALSE),"")</f>
        <v/>
      </c>
      <c r="I49" s="5" t="str">
        <f>IFERROR(VLOOKUP($B49,'Kibworth 6'!$A:$C,3,FALSE),"")</f>
        <v/>
      </c>
      <c r="J49" s="5" t="str">
        <f>IFERROR(VLOOKUP($B49,'Ivanhoe 20'!$A:$C,3,FALSE),"")</f>
        <v/>
      </c>
      <c r="K49" s="5" t="str">
        <f>IFERROR(VLOOKUP($B49,'Run In Forest'!$A:$C,3,FALSE),"")</f>
        <v/>
      </c>
      <c r="L49" s="5" t="str">
        <f>IFERROR(VLOOKUP($B49,'Stilton 7'!$A:$C,3,FALSE),"")</f>
        <v/>
      </c>
      <c r="M49" s="5" t="str">
        <f>IFERROR(VLOOKUP($B49,'Uttoxeter HM'!$A:$C,3,FALSE),"")</f>
        <v/>
      </c>
      <c r="N49" s="5" t="str">
        <f>IFERROR(VLOOKUP($B49,'Bosworth HM'!$A:$C,3,FALSE),"")</f>
        <v/>
      </c>
      <c r="O49" s="5" t="str">
        <f>IFERROR(VLOOKUP($B49,'West End 8'!$A:$C,3,FALSE),"")</f>
        <v/>
      </c>
      <c r="P49" s="5" t="str">
        <f>IFERROR(VLOOKUP($B49,'Swithland 6'!$A:$C,3,FALSE),"")</f>
        <v/>
      </c>
      <c r="Q49" s="5" t="str">
        <f>IFERROR(VLOOKUP($B49,'Washlands Relays'!$A:$C,3,FALSE),"")</f>
        <v/>
      </c>
      <c r="R49" s="5" t="str">
        <f>IFERROR(VLOOKUP($B49,'Tara Kinder 10K'!$A:$C,3,FALSE),"")</f>
        <v/>
      </c>
      <c r="S49" s="5" t="str">
        <f>IFERROR(VLOOKUP($B49,'Worthington 6'!$A:$C,3,FALSE),"")</f>
        <v/>
      </c>
      <c r="T49" s="5" t="str">
        <f>IFERROR(VLOOKUP($B49,'Joy Cann 5'!$A:$C,3,FALSE),"")</f>
        <v/>
      </c>
      <c r="U49" s="5">
        <f>IFERROR(VLOOKUP($B49,'Burton 10k'!$A:$C,3,FALSE),"")</f>
        <v>22</v>
      </c>
      <c r="V49" s="5" t="str">
        <f>IFERROR(VLOOKUP($B49,'Rotherby 8'!$A:$C,3,FALSE),"")</f>
        <v/>
      </c>
      <c r="W49" s="5" t="str">
        <f>IFERROR(VLOOKUP($B49,'Lichfield 10k'!$A:$C,3,FALSE),"")</f>
        <v/>
      </c>
      <c r="X49" s="5" t="str">
        <f>IFERROR(VLOOKUP($B49,'Adrian Smith'!$A:$C,3,FALSE),"")</f>
        <v/>
      </c>
      <c r="Y49" s="5" t="str">
        <f>IFERROR(VLOOKUP($B49,'Tamworth 5'!$A:$C,3,FALSE),"")</f>
        <v/>
      </c>
      <c r="Z49" s="31" t="str">
        <f>IFERROR(VLOOKUP($B49,'Bagworth XC'!$A:$C,3,FALSE),"")</f>
        <v/>
      </c>
      <c r="AA49" s="5" t="str">
        <f>IFERROR(VLOOKUP($B49,'Markfield 10k'!$A:$C,3,FALSE),"")</f>
        <v/>
      </c>
      <c r="AB49" s="5" t="str">
        <f>IFERROR(VLOOKUP($B49,'Shepshed 7'!$A:$C,3,FALSE),"")</f>
        <v/>
      </c>
    </row>
    <row r="50" spans="1:28" ht="15.75" thickBot="1" x14ac:dyDescent="0.3">
      <c r="A50" s="42">
        <f ca="1">IFERROR(Table222[[#This Row],[Position]],"")</f>
        <v>48</v>
      </c>
      <c r="B50" s="19" t="s">
        <v>99</v>
      </c>
      <c r="C50" s="81">
        <f ca="1">IF(Table222[[#This Row],[Total races]]=0,0,(RANK(E50,$E$3:$E$63)+COUNTIF(E50:$E$57,E50)-1))</f>
        <v>48</v>
      </c>
      <c r="D50" s="5">
        <f>COUNTIF(F50:AB50,"&gt;=0")</f>
        <v>1</v>
      </c>
      <c r="E50" s="5">
        <f t="array" aca="1" ref="E50" ca="1">IF(Table222[[#This Row],[Total races]]&lt;11,SUM(Table222[[#This Row],[Derby 5k]:[Shepshed 7]]),SUM(LARGE(F50:AB50,ROW(INDIRECT("1:10")))))+Table222[[#This Row],[Total races]]*3</f>
        <v>10</v>
      </c>
      <c r="F50" s="5" t="str">
        <f>IFERROR(VLOOKUP(B50,'Derby 5K'!$M$4:$V$15,10,FALSE),"")</f>
        <v/>
      </c>
      <c r="G50" s="5" t="str">
        <f>IFERROR(VLOOKUP(B50,'Grace Dieu XC'!$A:$C,3,FALSE),"")</f>
        <v/>
      </c>
      <c r="H50" s="5" t="str">
        <f>IFERROR(VLOOKUP(B50,'Bosworth XC'!$A:$C,3,FALSE),"")</f>
        <v/>
      </c>
      <c r="I50" s="5" t="str">
        <f>IFERROR(VLOOKUP($B50,'Kibworth 6'!$A:$C,3,FALSE),"")</f>
        <v/>
      </c>
      <c r="J50" s="5" t="str">
        <f>IFERROR(VLOOKUP($B50,'Ivanhoe 20'!$A:$C,3,FALSE),"")</f>
        <v/>
      </c>
      <c r="K50" s="5" t="str">
        <f>IFERROR(VLOOKUP($B50,'Run In Forest'!$A:$C,3,FALSE),"")</f>
        <v/>
      </c>
      <c r="L50" s="5" t="str">
        <f>IFERROR(VLOOKUP($B50,'Stilton 7'!$A:$C,3,FALSE),"")</f>
        <v/>
      </c>
      <c r="M50" s="5" t="str">
        <f>IFERROR(VLOOKUP($B50,'Uttoxeter HM'!$A:$C,3,FALSE),"")</f>
        <v/>
      </c>
      <c r="N50" s="5" t="str">
        <f>IFERROR(VLOOKUP($B50,'Bosworth HM'!$A:$C,3,FALSE),"")</f>
        <v/>
      </c>
      <c r="O50" s="5" t="str">
        <f>IFERROR(VLOOKUP($B50,'West End 8'!$A:$C,3,FALSE),"")</f>
        <v/>
      </c>
      <c r="P50" s="5" t="str">
        <f>IFERROR(VLOOKUP($B50,'Swithland 6'!$A:$C,3,FALSE),"")</f>
        <v/>
      </c>
      <c r="Q50" s="5">
        <f>IFERROR(VLOOKUP($B50,'Washlands Relays'!$A:$C,3,FALSE),"")</f>
        <v>7</v>
      </c>
      <c r="R50" s="5" t="str">
        <f>IFERROR(VLOOKUP($B50,'Tara Kinder 10K'!$A:$C,3,FALSE),"")</f>
        <v/>
      </c>
      <c r="S50" s="5" t="str">
        <f>IFERROR(VLOOKUP($B50,'Worthington 6'!$A:$C,3,FALSE),"")</f>
        <v/>
      </c>
      <c r="T50" s="5" t="str">
        <f>IFERROR(VLOOKUP($B50,'Joy Cann 5'!$A:$C,3,FALSE),"")</f>
        <v/>
      </c>
      <c r="U50" s="5" t="str">
        <f>IFERROR(VLOOKUP($B50,'Burton 10k'!$A:$C,3,FALSE),"")</f>
        <v/>
      </c>
      <c r="V50" s="5" t="str">
        <f>IFERROR(VLOOKUP($B50,'Rotherby 8'!$A:$C,3,FALSE),"")</f>
        <v/>
      </c>
      <c r="W50" s="5" t="str">
        <f>IFERROR(VLOOKUP($B50,'Lichfield 10k'!$A:$C,3,FALSE),"")</f>
        <v/>
      </c>
      <c r="X50" s="5" t="str">
        <f>IFERROR(VLOOKUP($B50,'Adrian Smith'!$A:$C,3,FALSE),"")</f>
        <v/>
      </c>
      <c r="Y50" s="5" t="str">
        <f>IFERROR(VLOOKUP($B50,'Tamworth 5'!$A:$C,3,FALSE),"")</f>
        <v/>
      </c>
      <c r="Z50" s="31" t="str">
        <f>IFERROR(VLOOKUP($B50,'Bagworth XC'!$A:$C,3,FALSE),"")</f>
        <v/>
      </c>
      <c r="AA50" s="5" t="str">
        <f>IFERROR(VLOOKUP($B50,'Markfield 10k'!$A:$C,3,FALSE),"")</f>
        <v/>
      </c>
      <c r="AB50" s="5" t="str">
        <f>IFERROR(VLOOKUP($B50,'Shepshed 7'!$A:$C,3,FALSE),"")</f>
        <v/>
      </c>
    </row>
    <row r="51" spans="1:28" x14ac:dyDescent="0.25">
      <c r="A51" s="42">
        <f>IFERROR(Table222[[#This Row],[Position]],"")</f>
        <v>0</v>
      </c>
      <c r="B51" s="70" t="s">
        <v>102</v>
      </c>
      <c r="C51" s="81">
        <f>IF(Table222[[#This Row],[Total races]]=0,0,(RANK(E51,$E$3:$E$63)+COUNTIF(E51:$E$57,E51)-1))</f>
        <v>0</v>
      </c>
      <c r="D51" s="71">
        <f>COUNTIF(F51:AB51,"&gt;=0")</f>
        <v>0</v>
      </c>
      <c r="E51" s="71">
        <f t="array" aca="1" ref="E51" ca="1">IF(Table222[[#This Row],[Total races]]&lt;11,SUM(Table222[[#This Row],[Derby 5k]:[Shepshed 7]]),SUM(LARGE(F51:AB51,ROW(INDIRECT("1:10")))))+Table222[[#This Row],[Total races]]*3</f>
        <v>0</v>
      </c>
      <c r="F51" s="71" t="str">
        <f>IFERROR(VLOOKUP(B51,'Derby 5K'!$M$4:$V$15,10,FALSE),"")</f>
        <v/>
      </c>
      <c r="G51" s="71" t="str">
        <f>IFERROR(VLOOKUP(B51,'Grace Dieu XC'!$A:$C,3,FALSE),"")</f>
        <v/>
      </c>
      <c r="H51" s="71" t="str">
        <f>IFERROR(VLOOKUP(B51,'Bosworth XC'!$A:$C,3,FALSE),"")</f>
        <v/>
      </c>
      <c r="I51" s="71" t="str">
        <f>IFERROR(VLOOKUP($B51,'Kibworth 6'!$A:$C,3,FALSE),"")</f>
        <v/>
      </c>
      <c r="J51" s="71" t="str">
        <f>IFERROR(VLOOKUP($B51,'Ivanhoe 20'!$A:$C,3,FALSE),"")</f>
        <v/>
      </c>
      <c r="K51" s="71" t="str">
        <f>IFERROR(VLOOKUP($B51,'Run In Forest'!$A:$C,3,FALSE),"")</f>
        <v/>
      </c>
      <c r="L51" s="71" t="str">
        <f>IFERROR(VLOOKUP($B51,'Stilton 7'!$A:$C,3,FALSE),"")</f>
        <v/>
      </c>
      <c r="M51" s="71" t="str">
        <f>IFERROR(VLOOKUP($B51,'Uttoxeter HM'!$A:$C,3,FALSE),"")</f>
        <v/>
      </c>
      <c r="N51" s="71" t="str">
        <f>IFERROR(VLOOKUP($B51,'Bosworth HM'!$A:$C,3,FALSE),"")</f>
        <v/>
      </c>
      <c r="O51" s="71" t="str">
        <f>IFERROR(VLOOKUP($B51,'West End 8'!$A:$C,3,FALSE),"")</f>
        <v/>
      </c>
      <c r="P51" s="71" t="str">
        <f>IFERROR(VLOOKUP($B51,'Swithland 6'!$A:$C,3,FALSE),"")</f>
        <v/>
      </c>
      <c r="Q51" s="71" t="str">
        <f>IFERROR(VLOOKUP($B51,'Washlands Relays'!$A:$C,3,FALSE),"")</f>
        <v/>
      </c>
      <c r="R51" s="71" t="str">
        <f>IFERROR(VLOOKUP($B51,'Tara Kinder 10K'!$A:$C,3,FALSE),"")</f>
        <v/>
      </c>
      <c r="S51" s="71" t="str">
        <f>IFERROR(VLOOKUP($B51,'Worthington 6'!$A:$C,3,FALSE),"")</f>
        <v/>
      </c>
      <c r="T51" s="71" t="str">
        <f>IFERROR(VLOOKUP($B51,'Joy Cann 5'!$A:$C,3,FALSE),"")</f>
        <v/>
      </c>
      <c r="U51" s="71" t="str">
        <f>IFERROR(VLOOKUP($B51,'Burton 10k'!$A:$C,3,FALSE),"")</f>
        <v/>
      </c>
      <c r="V51" s="71" t="str">
        <f>IFERROR(VLOOKUP($B51,'Rotherby 8'!$A:$C,3,FALSE),"")</f>
        <v/>
      </c>
      <c r="W51" s="71" t="str">
        <f>IFERROR(VLOOKUP($B51,'Lichfield 10k'!$A:$C,3,FALSE),"")</f>
        <v/>
      </c>
      <c r="X51" s="71" t="str">
        <f>IFERROR(VLOOKUP($B51,'Adrian Smith'!$A:$C,3,FALSE),"")</f>
        <v/>
      </c>
      <c r="Y51" s="71" t="str">
        <f>IFERROR(VLOOKUP($B51,'Tamworth 5'!$A:$C,3,FALSE),"")</f>
        <v/>
      </c>
      <c r="Z51" s="72" t="str">
        <f>IFERROR(VLOOKUP($B51,'Bagworth XC'!$A:$C,3,FALSE),"")</f>
        <v/>
      </c>
      <c r="AA51" s="5" t="str">
        <f>IFERROR(VLOOKUP($B51,'Markfield 10k'!$A:$C,3,FALSE),"")</f>
        <v/>
      </c>
      <c r="AB51" s="5" t="str">
        <f>IFERROR(VLOOKUP($B51,'Shepshed 7'!$A:$C,3,FALSE),"")</f>
        <v/>
      </c>
    </row>
    <row r="52" spans="1:28" x14ac:dyDescent="0.25">
      <c r="A52" s="42">
        <f>IFERROR(Table222[[#This Row],[Position]],"")</f>
        <v>0</v>
      </c>
      <c r="B52" s="70" t="s">
        <v>33</v>
      </c>
      <c r="C52" s="81">
        <f>IF(Table222[[#This Row],[Total races]]=0,0,(RANK(E52,$E$3:$E$63)+COUNTIF(E52:$E$57,E52)-1))</f>
        <v>0</v>
      </c>
      <c r="D52" s="71">
        <f>COUNTIF(F52:AB52,"&gt;=0")</f>
        <v>0</v>
      </c>
      <c r="E52" s="71">
        <f t="array" aca="1" ref="E52" ca="1">IF(Table222[[#This Row],[Total races]]&lt;11,SUM(Table222[[#This Row],[Derby 5k]:[Shepshed 7]]),SUM(LARGE(F52:AB52,ROW(INDIRECT("1:10")))))+Table222[[#This Row],[Total races]]*3</f>
        <v>0</v>
      </c>
      <c r="F52" s="71" t="str">
        <f>IFERROR(VLOOKUP(B52,'Derby 5K'!$M$4:$V$15,10,FALSE),"")</f>
        <v/>
      </c>
      <c r="G52" s="71" t="str">
        <f>IFERROR(VLOOKUP(B52,'Grace Dieu XC'!$A:$C,3,FALSE),"")</f>
        <v/>
      </c>
      <c r="H52" s="71" t="str">
        <f>IFERROR(VLOOKUP(B52,'Bosworth XC'!$A:$C,3,FALSE),"")</f>
        <v/>
      </c>
      <c r="I52" s="71" t="str">
        <f>IFERROR(VLOOKUP($B52,'Kibworth 6'!$A:$C,3,FALSE),"")</f>
        <v/>
      </c>
      <c r="J52" s="71" t="str">
        <f>IFERROR(VLOOKUP($B52,'Ivanhoe 20'!$A:$C,3,FALSE),"")</f>
        <v/>
      </c>
      <c r="K52" s="71" t="str">
        <f>IFERROR(VLOOKUP($B52,'Run In Forest'!$A:$C,3,FALSE),"")</f>
        <v/>
      </c>
      <c r="L52" s="71" t="str">
        <f>IFERROR(VLOOKUP($B52,'Stilton 7'!$A:$C,3,FALSE),"")</f>
        <v/>
      </c>
      <c r="M52" s="71" t="str">
        <f>IFERROR(VLOOKUP($B52,'Uttoxeter HM'!$A:$C,3,FALSE),"")</f>
        <v/>
      </c>
      <c r="N52" s="71" t="str">
        <f>IFERROR(VLOOKUP($B52,'Bosworth HM'!$A:$C,3,FALSE),"")</f>
        <v/>
      </c>
      <c r="O52" s="71" t="str">
        <f>IFERROR(VLOOKUP($B52,'West End 8'!$A:$C,3,FALSE),"")</f>
        <v/>
      </c>
      <c r="P52" s="71" t="str">
        <f>IFERROR(VLOOKUP($B52,'Swithland 6'!$A:$C,3,FALSE),"")</f>
        <v/>
      </c>
      <c r="Q52" s="71" t="str">
        <f>IFERROR(VLOOKUP($B52,'Washlands Relays'!$A:$C,3,FALSE),"")</f>
        <v/>
      </c>
      <c r="R52" s="71" t="str">
        <f>IFERROR(VLOOKUP($B52,'Tara Kinder 10K'!$A:$C,3,FALSE),"")</f>
        <v/>
      </c>
      <c r="S52" s="71" t="str">
        <f>IFERROR(VLOOKUP($B52,'Worthington 6'!$A:$C,3,FALSE),"")</f>
        <v/>
      </c>
      <c r="T52" s="71" t="str">
        <f>IFERROR(VLOOKUP($B52,'Joy Cann 5'!$A:$C,3,FALSE),"")</f>
        <v/>
      </c>
      <c r="U52" s="71" t="str">
        <f>IFERROR(VLOOKUP($B52,'Burton 10k'!$A:$C,3,FALSE),"")</f>
        <v/>
      </c>
      <c r="V52" s="71" t="str">
        <f>IFERROR(VLOOKUP($B52,'Rotherby 8'!$A:$C,3,FALSE),"")</f>
        <v/>
      </c>
      <c r="W52" s="71" t="str">
        <f>IFERROR(VLOOKUP($B52,'Lichfield 10k'!$A:$C,3,FALSE),"")</f>
        <v/>
      </c>
      <c r="X52" s="71" t="str">
        <f>IFERROR(VLOOKUP($B52,'Adrian Smith'!$A:$C,3,FALSE),"")</f>
        <v/>
      </c>
      <c r="Y52" s="71" t="str">
        <f>IFERROR(VLOOKUP($B52,'Tamworth 5'!$A:$C,3,FALSE),"")</f>
        <v/>
      </c>
      <c r="Z52" s="72" t="str">
        <f>IFERROR(VLOOKUP($B52,'Bagworth XC'!$A:$C,3,FALSE),"")</f>
        <v/>
      </c>
      <c r="AA52" s="5" t="str">
        <f>IFERROR(VLOOKUP($B52,'Markfield 10k'!$A:$C,3,FALSE),"")</f>
        <v/>
      </c>
      <c r="AB52" s="5" t="str">
        <f>IFERROR(VLOOKUP($B52,'Shepshed 7'!$A:$C,3,FALSE),"")</f>
        <v/>
      </c>
    </row>
    <row r="53" spans="1:28" x14ac:dyDescent="0.25">
      <c r="A53" s="42">
        <f>IFERROR(Table222[[#This Row],[Position]],"")</f>
        <v>0</v>
      </c>
      <c r="B53" s="70" t="s">
        <v>94</v>
      </c>
      <c r="C53" s="81">
        <f>IF(Table222[[#This Row],[Total races]]=0,0,(RANK(E53,$E$3:$E$63)+COUNTIF(E53:$E$57,E53)-1))</f>
        <v>0</v>
      </c>
      <c r="D53" s="71">
        <f>COUNTIF(F53:AB53,"&gt;=0")</f>
        <v>0</v>
      </c>
      <c r="E53" s="71">
        <f t="array" aca="1" ref="E53" ca="1">IF(Table222[[#This Row],[Total races]]&lt;11,SUM(Table222[[#This Row],[Derby 5k]:[Shepshed 7]]),SUM(LARGE(F53:AB53,ROW(INDIRECT("1:10")))))+Table222[[#This Row],[Total races]]*3</f>
        <v>0</v>
      </c>
      <c r="F53" s="71" t="str">
        <f>IFERROR(VLOOKUP(B53,'Derby 5K'!$M$4:$V$15,10,FALSE),"")</f>
        <v/>
      </c>
      <c r="G53" s="71" t="str">
        <f>IFERROR(VLOOKUP(B53,'Grace Dieu XC'!$A:$C,3,FALSE),"")</f>
        <v/>
      </c>
      <c r="H53" s="71" t="str">
        <f>IFERROR(VLOOKUP(B53,'Bosworth XC'!$A:$C,3,FALSE),"")</f>
        <v/>
      </c>
      <c r="I53" s="71" t="str">
        <f>IFERROR(VLOOKUP($B53,'Kibworth 6'!$A:$C,3,FALSE),"")</f>
        <v/>
      </c>
      <c r="J53" s="71" t="str">
        <f>IFERROR(VLOOKUP($B53,'Ivanhoe 20'!$A:$C,3,FALSE),"")</f>
        <v/>
      </c>
      <c r="K53" s="71" t="str">
        <f>IFERROR(VLOOKUP($B53,'Run In Forest'!$A:$C,3,FALSE),"")</f>
        <v/>
      </c>
      <c r="L53" s="71" t="str">
        <f>IFERROR(VLOOKUP($B53,'Stilton 7'!$A:$C,3,FALSE),"")</f>
        <v/>
      </c>
      <c r="M53" s="71" t="str">
        <f>IFERROR(VLOOKUP($B53,'Uttoxeter HM'!$A:$C,3,FALSE),"")</f>
        <v/>
      </c>
      <c r="N53" s="71" t="str">
        <f>IFERROR(VLOOKUP($B53,'Bosworth HM'!$A:$C,3,FALSE),"")</f>
        <v/>
      </c>
      <c r="O53" s="71" t="str">
        <f>IFERROR(VLOOKUP($B53,'West End 8'!$A:$C,3,FALSE),"")</f>
        <v/>
      </c>
      <c r="P53" s="71" t="str">
        <f>IFERROR(VLOOKUP($B53,'Swithland 6'!$A:$C,3,FALSE),"")</f>
        <v/>
      </c>
      <c r="Q53" s="71" t="str">
        <f>IFERROR(VLOOKUP($B53,'Washlands Relays'!$A:$C,3,FALSE),"")</f>
        <v/>
      </c>
      <c r="R53" s="71" t="str">
        <f>IFERROR(VLOOKUP($B53,'Tara Kinder 10K'!$A:$C,3,FALSE),"")</f>
        <v/>
      </c>
      <c r="S53" s="71" t="str">
        <f>IFERROR(VLOOKUP($B53,'Worthington 6'!$A:$C,3,FALSE),"")</f>
        <v/>
      </c>
      <c r="T53" s="71" t="str">
        <f>IFERROR(VLOOKUP($B53,'Joy Cann 5'!$A:$C,3,FALSE),"")</f>
        <v/>
      </c>
      <c r="U53" s="71" t="str">
        <f>IFERROR(VLOOKUP($B53,'Burton 10k'!$A:$C,3,FALSE),"")</f>
        <v/>
      </c>
      <c r="V53" s="71" t="str">
        <f>IFERROR(VLOOKUP($B53,'Rotherby 8'!$A:$C,3,FALSE),"")</f>
        <v/>
      </c>
      <c r="W53" s="71" t="str">
        <f>IFERROR(VLOOKUP($B53,'Lichfield 10k'!$A:$C,3,FALSE),"")</f>
        <v/>
      </c>
      <c r="X53" s="71" t="str">
        <f>IFERROR(VLOOKUP($B53,'Adrian Smith'!$A:$C,3,FALSE),"")</f>
        <v/>
      </c>
      <c r="Y53" s="71" t="str">
        <f>IFERROR(VLOOKUP($B53,'Tamworth 5'!$A:$C,3,FALSE),"")</f>
        <v/>
      </c>
      <c r="Z53" s="72" t="str">
        <f>IFERROR(VLOOKUP($B53,'Bagworth XC'!$A:$C,3,FALSE),"")</f>
        <v/>
      </c>
      <c r="AA53" s="5" t="str">
        <f>IFERROR(VLOOKUP($B53,'Markfield 10k'!$A:$C,3,FALSE),"")</f>
        <v/>
      </c>
      <c r="AB53" s="5" t="str">
        <f>IFERROR(VLOOKUP($B53,'Shepshed 7'!$A:$C,3,FALSE),"")</f>
        <v/>
      </c>
    </row>
    <row r="54" spans="1:28" x14ac:dyDescent="0.25">
      <c r="A54" s="42">
        <f>IFERROR(Table222[[#This Row],[Position]],"")</f>
        <v>0</v>
      </c>
      <c r="B54" s="70" t="s">
        <v>116</v>
      </c>
      <c r="C54" s="81">
        <f>IF(Table222[[#This Row],[Total races]]=0,0,(RANK(E54,$E$3:$E$63)+COUNTIF(E54:$E$57,E54)-1))</f>
        <v>0</v>
      </c>
      <c r="D54" s="71">
        <f>COUNTIF(F54:AB54,"&gt;=0")</f>
        <v>0</v>
      </c>
      <c r="E54" s="71">
        <f t="array" aca="1" ref="E54" ca="1">IF(Table222[[#This Row],[Total races]]&lt;11,SUM(Table222[[#This Row],[Derby 5k]:[Shepshed 7]]),SUM(LARGE(F54:AB54,ROW(INDIRECT("1:10")))))+Table222[[#This Row],[Total races]]*3</f>
        <v>0</v>
      </c>
      <c r="F54" s="71" t="str">
        <f>IFERROR(VLOOKUP(B54,'Derby 5K'!$M$4:$V$15,10,FALSE),"")</f>
        <v/>
      </c>
      <c r="G54" s="71" t="str">
        <f>IFERROR(VLOOKUP(B54,'Grace Dieu XC'!$A:$C,3,FALSE),"")</f>
        <v/>
      </c>
      <c r="H54" s="71" t="str">
        <f>IFERROR(VLOOKUP(B54,'Bosworth XC'!$A:$C,3,FALSE),"")</f>
        <v/>
      </c>
      <c r="I54" s="71" t="str">
        <f>IFERROR(VLOOKUP($B54,'Kibworth 6'!$A:$C,3,FALSE),"")</f>
        <v/>
      </c>
      <c r="J54" s="71" t="str">
        <f>IFERROR(VLOOKUP($B54,'Ivanhoe 20'!$A:$C,3,FALSE),"")</f>
        <v/>
      </c>
      <c r="K54" s="71" t="str">
        <f>IFERROR(VLOOKUP($B54,'Run In Forest'!$A:$C,3,FALSE),"")</f>
        <v/>
      </c>
      <c r="L54" s="71" t="str">
        <f>IFERROR(VLOOKUP($B54,'Stilton 7'!$A:$C,3,FALSE),"")</f>
        <v/>
      </c>
      <c r="M54" s="71" t="str">
        <f>IFERROR(VLOOKUP($B54,'Uttoxeter HM'!$A:$C,3,FALSE),"")</f>
        <v/>
      </c>
      <c r="N54" s="71" t="str">
        <f>IFERROR(VLOOKUP($B54,'Bosworth HM'!$A:$C,3,FALSE),"")</f>
        <v/>
      </c>
      <c r="O54" s="71" t="str">
        <f>IFERROR(VLOOKUP($B54,'West End 8'!$A:$C,3,FALSE),"")</f>
        <v/>
      </c>
      <c r="P54" s="71" t="str">
        <f>IFERROR(VLOOKUP($B54,'Swithland 6'!$A:$C,3,FALSE),"")</f>
        <v/>
      </c>
      <c r="Q54" s="71" t="str">
        <f>IFERROR(VLOOKUP($B54,'Washlands Relays'!$A:$C,3,FALSE),"")</f>
        <v/>
      </c>
      <c r="R54" s="71" t="str">
        <f>IFERROR(VLOOKUP($B54,'Tara Kinder 10K'!$A:$C,3,FALSE),"")</f>
        <v/>
      </c>
      <c r="S54" s="71" t="str">
        <f>IFERROR(VLOOKUP($B54,'Worthington 6'!$A:$C,3,FALSE),"")</f>
        <v/>
      </c>
      <c r="T54" s="71" t="str">
        <f>IFERROR(VLOOKUP($B54,'Joy Cann 5'!$A:$C,3,FALSE),"")</f>
        <v/>
      </c>
      <c r="U54" s="71" t="str">
        <f>IFERROR(VLOOKUP($B54,'Burton 10k'!$A:$C,3,FALSE),"")</f>
        <v/>
      </c>
      <c r="V54" s="71" t="str">
        <f>IFERROR(VLOOKUP($B54,'Rotherby 8'!$A:$C,3,FALSE),"")</f>
        <v/>
      </c>
      <c r="W54" s="71" t="str">
        <f>IFERROR(VLOOKUP($B54,'Lichfield 10k'!$A:$C,3,FALSE),"")</f>
        <v/>
      </c>
      <c r="X54" s="71" t="str">
        <f>IFERROR(VLOOKUP($B54,'Adrian Smith'!$A:$C,3,FALSE),"")</f>
        <v/>
      </c>
      <c r="Y54" s="71" t="str">
        <f>IFERROR(VLOOKUP($B54,'Tamworth 5'!$A:$C,3,FALSE),"")</f>
        <v/>
      </c>
      <c r="Z54" s="72" t="str">
        <f>IFERROR(VLOOKUP($B54,'Bagworth XC'!$A:$C,3,FALSE),"")</f>
        <v/>
      </c>
      <c r="AA54" s="71" t="str">
        <f>IFERROR(VLOOKUP($B54,'Markfield 10k'!$A:$C,3,FALSE),"")</f>
        <v/>
      </c>
      <c r="AB54" s="71" t="str">
        <f>IFERROR(VLOOKUP($B54,'Shepshed 7'!$A:$C,3,FALSE),"")</f>
        <v/>
      </c>
    </row>
    <row r="55" spans="1:28" x14ac:dyDescent="0.25">
      <c r="A55" s="42">
        <f>IFERROR(Table222[[#This Row],[Position]],"")</f>
        <v>0</v>
      </c>
      <c r="B55" s="70" t="s">
        <v>61</v>
      </c>
      <c r="C55" s="81">
        <f>IF(Table222[[#This Row],[Total races]]=0,0,(RANK(E55,$E$3:$E$63)+COUNTIF(E55:$E$57,E55)-1))</f>
        <v>0</v>
      </c>
      <c r="D55" s="71">
        <f>COUNTIF(F55:AB55,"&gt;=0")</f>
        <v>0</v>
      </c>
      <c r="E55" s="71">
        <f t="array" aca="1" ref="E55" ca="1">IF(Table222[[#This Row],[Total races]]&lt;11,SUM(Table222[[#This Row],[Derby 5k]:[Shepshed 7]]),SUM(LARGE(F55:AB55,ROW(INDIRECT("1:10")))))+Table222[[#This Row],[Total races]]*3</f>
        <v>0</v>
      </c>
      <c r="F55" s="71" t="str">
        <f>IFERROR(VLOOKUP(B55,'Derby 5K'!$M$4:$V$15,10,FALSE),"")</f>
        <v/>
      </c>
      <c r="G55" s="71" t="str">
        <f>IFERROR(VLOOKUP(B55,'Grace Dieu XC'!$A:$C,3,FALSE),"")</f>
        <v/>
      </c>
      <c r="H55" s="71" t="str">
        <f>IFERROR(VLOOKUP(B55,'Bosworth XC'!$A:$C,3,FALSE),"")</f>
        <v/>
      </c>
      <c r="I55" s="71" t="str">
        <f>IFERROR(VLOOKUP($B55,'Kibworth 6'!$A:$C,3,FALSE),"")</f>
        <v/>
      </c>
      <c r="J55" s="71" t="str">
        <f>IFERROR(VLOOKUP($B55,'Ivanhoe 20'!$A:$C,3,FALSE),"")</f>
        <v/>
      </c>
      <c r="K55" s="71" t="str">
        <f>IFERROR(VLOOKUP($B55,'Run In Forest'!$A:$C,3,FALSE),"")</f>
        <v/>
      </c>
      <c r="L55" s="71" t="str">
        <f>IFERROR(VLOOKUP($B55,'Stilton 7'!$A:$C,3,FALSE),"")</f>
        <v/>
      </c>
      <c r="M55" s="71" t="str">
        <f>IFERROR(VLOOKUP($B55,'Uttoxeter HM'!$A:$C,3,FALSE),"")</f>
        <v/>
      </c>
      <c r="N55" s="71" t="str">
        <f>IFERROR(VLOOKUP($B55,'Bosworth HM'!$A:$C,3,FALSE),"")</f>
        <v/>
      </c>
      <c r="O55" s="71" t="str">
        <f>IFERROR(VLOOKUP($B55,'West End 8'!$A:$C,3,FALSE),"")</f>
        <v/>
      </c>
      <c r="P55" s="71" t="str">
        <f>IFERROR(VLOOKUP($B55,'Swithland 6'!$A:$C,3,FALSE),"")</f>
        <v/>
      </c>
      <c r="Q55" s="71" t="str">
        <f>IFERROR(VLOOKUP($B55,'Washlands Relays'!$A:$C,3,FALSE),"")</f>
        <v/>
      </c>
      <c r="R55" s="71" t="str">
        <f>IFERROR(VLOOKUP($B55,'Tara Kinder 10K'!$A:$C,3,FALSE),"")</f>
        <v/>
      </c>
      <c r="S55" s="71" t="str">
        <f>IFERROR(VLOOKUP($B55,'Worthington 6'!$A:$C,3,FALSE),"")</f>
        <v/>
      </c>
      <c r="T55" s="71" t="str">
        <f>IFERROR(VLOOKUP($B55,'Joy Cann 5'!$A:$C,3,FALSE),"")</f>
        <v/>
      </c>
      <c r="U55" s="71" t="str">
        <f>IFERROR(VLOOKUP($B55,'Burton 10k'!$A:$C,3,FALSE),"")</f>
        <v/>
      </c>
      <c r="V55" s="71" t="str">
        <f>IFERROR(VLOOKUP($B55,'Rotherby 8'!$A:$C,3,FALSE),"")</f>
        <v/>
      </c>
      <c r="W55" s="71" t="str">
        <f>IFERROR(VLOOKUP($B55,'Lichfield 10k'!$A:$C,3,FALSE),"")</f>
        <v/>
      </c>
      <c r="X55" s="71" t="str">
        <f>IFERROR(VLOOKUP($B55,'Adrian Smith'!$A:$C,3,FALSE),"")</f>
        <v/>
      </c>
      <c r="Y55" s="71" t="str">
        <f>IFERROR(VLOOKUP($B55,'Tamworth 5'!$A:$C,3,FALSE),"")</f>
        <v/>
      </c>
      <c r="Z55" s="72" t="str">
        <f>IFERROR(VLOOKUP($B55,'Bagworth XC'!$A:$C,3,FALSE),"")</f>
        <v/>
      </c>
      <c r="AA55" s="71" t="str">
        <f>IFERROR(VLOOKUP($B55,'Markfield 10k'!$A:$C,3,FALSE),"")</f>
        <v/>
      </c>
      <c r="AB55" s="71" t="str">
        <f>IFERROR(VLOOKUP($B55,'Shepshed 7'!$A:$C,3,FALSE),"")</f>
        <v/>
      </c>
    </row>
    <row r="56" spans="1:28" x14ac:dyDescent="0.25">
      <c r="A56" s="42">
        <f>IFERROR(Table222[[#This Row],[Position]],"")</f>
        <v>0</v>
      </c>
      <c r="B56" s="70" t="s">
        <v>123</v>
      </c>
      <c r="C56" s="81">
        <f>IF(Table222[[#This Row],[Total races]]=0,0,(RANK(E56,$E$3:$E$63)+COUNTIF(E56:$E$57,E56)-1))</f>
        <v>0</v>
      </c>
      <c r="D56" s="71">
        <f>COUNTIF(F56:AB56,"&gt;=0")</f>
        <v>0</v>
      </c>
      <c r="E56" s="71">
        <f t="array" aca="1" ref="E56" ca="1">IF(Table222[[#This Row],[Total races]]&lt;11,SUM(Table222[[#This Row],[Derby 5k]:[Shepshed 7]]),SUM(LARGE(F56:AB56,ROW(INDIRECT("1:10")))))+Table222[[#This Row],[Total races]]*3</f>
        <v>0</v>
      </c>
      <c r="F56" s="71" t="str">
        <f>IFERROR(VLOOKUP(B56,'Derby 5K'!$M$4:$V$15,10,FALSE),"")</f>
        <v/>
      </c>
      <c r="G56" s="71" t="str">
        <f>IFERROR(VLOOKUP(B56,'Grace Dieu XC'!$A:$C,3,FALSE),"")</f>
        <v/>
      </c>
      <c r="H56" s="71" t="str">
        <f>IFERROR(VLOOKUP(B56,'Bosworth XC'!$A:$C,3,FALSE),"")</f>
        <v/>
      </c>
      <c r="I56" s="71" t="str">
        <f>IFERROR(VLOOKUP($B56,'Kibworth 6'!$A:$C,3,FALSE),"")</f>
        <v/>
      </c>
      <c r="J56" s="71" t="str">
        <f>IFERROR(VLOOKUP($B56,'Ivanhoe 20'!$A:$C,3,FALSE),"")</f>
        <v/>
      </c>
      <c r="K56" s="71" t="str">
        <f>IFERROR(VLOOKUP($B56,'Run In Forest'!$A:$C,3,FALSE),"")</f>
        <v/>
      </c>
      <c r="L56" s="71" t="str">
        <f>IFERROR(VLOOKUP($B56,'Stilton 7'!$A:$C,3,FALSE),"")</f>
        <v/>
      </c>
      <c r="M56" s="71" t="str">
        <f>IFERROR(VLOOKUP($B56,'Uttoxeter HM'!$A:$C,3,FALSE),"")</f>
        <v/>
      </c>
      <c r="N56" s="71" t="str">
        <f>IFERROR(VLOOKUP($B56,'Bosworth HM'!$A:$C,3,FALSE),"")</f>
        <v/>
      </c>
      <c r="O56" s="71" t="str">
        <f>IFERROR(VLOOKUP($B56,'West End 8'!$A:$C,3,FALSE),"")</f>
        <v/>
      </c>
      <c r="P56" s="71" t="str">
        <f>IFERROR(VLOOKUP($B56,'Swithland 6'!$A:$C,3,FALSE),"")</f>
        <v/>
      </c>
      <c r="Q56" s="71" t="str">
        <f>IFERROR(VLOOKUP($B56,'Washlands Relays'!$A:$C,3,FALSE),"")</f>
        <v/>
      </c>
      <c r="R56" s="71" t="str">
        <f>IFERROR(VLOOKUP($B56,'Tara Kinder 10K'!$A:$C,3,FALSE),"")</f>
        <v/>
      </c>
      <c r="S56" s="71" t="str">
        <f>IFERROR(VLOOKUP($B56,'Worthington 6'!$A:$C,3,FALSE),"")</f>
        <v/>
      </c>
      <c r="T56" s="71" t="str">
        <f>IFERROR(VLOOKUP($B56,'Joy Cann 5'!$A:$C,3,FALSE),"")</f>
        <v/>
      </c>
      <c r="U56" s="71" t="str">
        <f>IFERROR(VLOOKUP($B56,'Burton 10k'!$A:$C,3,FALSE),"")</f>
        <v/>
      </c>
      <c r="V56" s="71" t="str">
        <f>IFERROR(VLOOKUP($B56,'Rotherby 8'!$A:$C,3,FALSE),"")</f>
        <v/>
      </c>
      <c r="W56" s="71" t="str">
        <f>IFERROR(VLOOKUP($B56,'Lichfield 10k'!$A:$C,3,FALSE),"")</f>
        <v/>
      </c>
      <c r="X56" s="71" t="str">
        <f>IFERROR(VLOOKUP($B56,'Adrian Smith'!$A:$C,3,FALSE),"")</f>
        <v/>
      </c>
      <c r="Y56" s="71" t="str">
        <f>IFERROR(VLOOKUP($B56,'Tamworth 5'!$A:$C,3,FALSE),"")</f>
        <v/>
      </c>
      <c r="Z56" s="72" t="str">
        <f>IFERROR(VLOOKUP($B56,'Bagworth XC'!$A:$C,3,FALSE),"")</f>
        <v/>
      </c>
      <c r="AA56" s="71" t="str">
        <f>IFERROR(VLOOKUP($B56,'Markfield 10k'!$A:$C,3,FALSE),"")</f>
        <v/>
      </c>
      <c r="AB56" s="71" t="str">
        <f>IFERROR(VLOOKUP($B56,'Shepshed 7'!$A:$C,3,FALSE),"")</f>
        <v/>
      </c>
    </row>
    <row r="57" spans="1:28" x14ac:dyDescent="0.25">
      <c r="A57" s="42">
        <f>IFERROR(Table222[[#This Row],[Position]],"")</f>
        <v>0</v>
      </c>
      <c r="B57" s="70" t="s">
        <v>136</v>
      </c>
      <c r="C57" s="81">
        <f>IF(Table222[[#This Row],[Total races]]=0,0,(RANK(E57,$E$3:$E$63)+COUNTIF(E57:$E$57,E57)-1))</f>
        <v>0</v>
      </c>
      <c r="D57" s="71">
        <f>COUNTIF(F57:AB57,"&gt;=0")</f>
        <v>0</v>
      </c>
      <c r="E57" s="71">
        <f t="array" aca="1" ref="E57" ca="1">IF(Table222[[#This Row],[Total races]]&lt;11,SUM(Table222[[#This Row],[Derby 5k]:[Shepshed 7]]),SUM(LARGE(F57:AB57,ROW(INDIRECT("1:10")))))+Table222[[#This Row],[Total races]]*3</f>
        <v>0</v>
      </c>
      <c r="F57" s="71" t="str">
        <f>IFERROR(VLOOKUP(B57,'Derby 5K'!$M$4:$V$15,10,FALSE),"")</f>
        <v/>
      </c>
      <c r="G57" s="71" t="str">
        <f>IFERROR(VLOOKUP(B57,'Grace Dieu XC'!$A:$C,3,FALSE),"")</f>
        <v/>
      </c>
      <c r="H57" s="71" t="str">
        <f>IFERROR(VLOOKUP(B57,'Bosworth XC'!$A:$C,3,FALSE),"")</f>
        <v/>
      </c>
      <c r="I57" s="71" t="str">
        <f>IFERROR(VLOOKUP($B57,'Kibworth 6'!$A:$C,3,FALSE),"")</f>
        <v/>
      </c>
      <c r="J57" s="71" t="str">
        <f>IFERROR(VLOOKUP($B57,'Ivanhoe 20'!$A:$C,3,FALSE),"")</f>
        <v/>
      </c>
      <c r="K57" s="71" t="str">
        <f>IFERROR(VLOOKUP($B57,'Run In Forest'!$A:$C,3,FALSE),"")</f>
        <v/>
      </c>
      <c r="L57" s="71" t="str">
        <f>IFERROR(VLOOKUP($B57,'Stilton 7'!$A:$C,3,FALSE),"")</f>
        <v/>
      </c>
      <c r="M57" s="71" t="str">
        <f>IFERROR(VLOOKUP($B57,'Uttoxeter HM'!$A:$C,3,FALSE),"")</f>
        <v/>
      </c>
      <c r="N57" s="71" t="str">
        <f>IFERROR(VLOOKUP($B57,'Bosworth HM'!$A:$C,3,FALSE),"")</f>
        <v/>
      </c>
      <c r="O57" s="71" t="str">
        <f>IFERROR(VLOOKUP($B57,'West End 8'!$A:$C,3,FALSE),"")</f>
        <v/>
      </c>
      <c r="P57" s="71" t="str">
        <f>IFERROR(VLOOKUP($B57,'Swithland 6'!$A:$C,3,FALSE),"")</f>
        <v/>
      </c>
      <c r="Q57" s="71" t="str">
        <f>IFERROR(VLOOKUP($B57,'Washlands Relays'!$A:$C,3,FALSE),"")</f>
        <v/>
      </c>
      <c r="R57" s="71" t="str">
        <f>IFERROR(VLOOKUP($B57,'Tara Kinder 10K'!$A:$C,3,FALSE),"")</f>
        <v/>
      </c>
      <c r="S57" s="71" t="str">
        <f>IFERROR(VLOOKUP($B57,'Worthington 6'!$A:$C,3,FALSE),"")</f>
        <v/>
      </c>
      <c r="T57" s="71" t="str">
        <f>IFERROR(VLOOKUP($B57,'Joy Cann 5'!$A:$C,3,FALSE),"")</f>
        <v/>
      </c>
      <c r="U57" s="71" t="str">
        <f>IFERROR(VLOOKUP($B57,'Burton 10k'!$A:$C,3,FALSE),"")</f>
        <v/>
      </c>
      <c r="V57" s="71" t="str">
        <f>IFERROR(VLOOKUP($B57,'Rotherby 8'!$A:$C,3,FALSE),"")</f>
        <v/>
      </c>
      <c r="W57" s="71" t="str">
        <f>IFERROR(VLOOKUP($B57,'Lichfield 10k'!$A:$C,3,FALSE),"")</f>
        <v/>
      </c>
      <c r="X57" s="71" t="str">
        <f>IFERROR(VLOOKUP($B57,'Adrian Smith'!$A:$C,3,FALSE),"")</f>
        <v/>
      </c>
      <c r="Y57" s="71" t="str">
        <f>IFERROR(VLOOKUP($B57,'Tamworth 5'!$A:$C,3,FALSE),"")</f>
        <v/>
      </c>
      <c r="Z57" s="72" t="str">
        <f>IFERROR(VLOOKUP($B57,'Bagworth XC'!$A:$C,3,FALSE),"")</f>
        <v/>
      </c>
      <c r="AA57" s="71" t="str">
        <f>IFERROR(VLOOKUP($B57,'Markfield 10k'!$A:$C,3,FALSE),"")</f>
        <v/>
      </c>
      <c r="AB57" s="71" t="str">
        <f>IFERROR(VLOOKUP($B57,'Shepshed 7'!$A:$C,3,FALSE),"")</f>
        <v/>
      </c>
    </row>
    <row r="58" spans="1:28" x14ac:dyDescent="0.25">
      <c r="A58" s="42">
        <f>IFERROR(Table222[[#This Row],[Position]],"")</f>
        <v>0</v>
      </c>
      <c r="B58" s="70" t="s">
        <v>53</v>
      </c>
      <c r="C58" s="81">
        <f>IF(Table222[[#This Row],[Total races]]=0,0,(RANK(E58,$E$3:$E$63)+COUNTIF(E$57:$E58,E58)-1))</f>
        <v>0</v>
      </c>
      <c r="D58" s="71">
        <f>COUNTIF(F58:AB58,"&gt;=0")</f>
        <v>0</v>
      </c>
      <c r="E58" s="71">
        <f t="array" aca="1" ref="E58" ca="1">IF(Table222[[#This Row],[Total races]]&lt;11,SUM(Table222[[#This Row],[Derby 5k]:[Shepshed 7]]),SUM(LARGE(F58:AB58,ROW(INDIRECT("1:10")))))+Table222[[#This Row],[Total races]]*3</f>
        <v>0</v>
      </c>
      <c r="F58" s="71" t="str">
        <f>IFERROR(VLOOKUP(B58,'Derby 5K'!$M$4:$V$15,10,FALSE),"")</f>
        <v/>
      </c>
      <c r="G58" s="71" t="str">
        <f>IFERROR(VLOOKUP(B58,'Grace Dieu XC'!$A:$C,3,FALSE),"")</f>
        <v/>
      </c>
      <c r="H58" s="71" t="str">
        <f>IFERROR(VLOOKUP(B58,'Bosworth XC'!$A:$C,3,FALSE),"")</f>
        <v/>
      </c>
      <c r="I58" s="71" t="str">
        <f>IFERROR(VLOOKUP($B58,'Kibworth 6'!$A:$C,3,FALSE),"")</f>
        <v/>
      </c>
      <c r="J58" s="71" t="str">
        <f>IFERROR(VLOOKUP($B58,'Ivanhoe 20'!$A:$C,3,FALSE),"")</f>
        <v/>
      </c>
      <c r="K58" s="71" t="str">
        <f>IFERROR(VLOOKUP($B58,'Run In Forest'!$A:$C,3,FALSE),"")</f>
        <v/>
      </c>
      <c r="L58" s="71" t="str">
        <f>IFERROR(VLOOKUP($B58,'Stilton 7'!$A:$C,3,FALSE),"")</f>
        <v/>
      </c>
      <c r="M58" s="71" t="str">
        <f>IFERROR(VLOOKUP($B58,'Uttoxeter HM'!$A:$C,3,FALSE),"")</f>
        <v/>
      </c>
      <c r="N58" s="71" t="str">
        <f>IFERROR(VLOOKUP($B58,'Bosworth HM'!$A:$C,3,FALSE),"")</f>
        <v/>
      </c>
      <c r="O58" s="71" t="str">
        <f>IFERROR(VLOOKUP($B58,'West End 8'!$A:$C,3,FALSE),"")</f>
        <v/>
      </c>
      <c r="P58" s="71" t="str">
        <f>IFERROR(VLOOKUP($B58,'Swithland 6'!$A:$C,3,FALSE),"")</f>
        <v/>
      </c>
      <c r="Q58" s="71" t="str">
        <f>IFERROR(VLOOKUP($B58,'Washlands Relays'!$A:$C,3,FALSE),"")</f>
        <v/>
      </c>
      <c r="R58" s="71" t="str">
        <f>IFERROR(VLOOKUP($B58,'Tara Kinder 10K'!$A:$C,3,FALSE),"")</f>
        <v/>
      </c>
      <c r="S58" s="71" t="str">
        <f>IFERROR(VLOOKUP($B58,'Worthington 6'!$A:$C,3,FALSE),"")</f>
        <v/>
      </c>
      <c r="T58" s="71" t="str">
        <f>IFERROR(VLOOKUP($B58,'Joy Cann 5'!$A:$C,3,FALSE),"")</f>
        <v/>
      </c>
      <c r="U58" s="71" t="str">
        <f>IFERROR(VLOOKUP($B58,'Burton 10k'!$A:$C,3,FALSE),"")</f>
        <v/>
      </c>
      <c r="V58" s="71" t="str">
        <f>IFERROR(VLOOKUP($B58,'Rotherby 8'!$A:$C,3,FALSE),"")</f>
        <v/>
      </c>
      <c r="W58" s="71" t="str">
        <f>IFERROR(VLOOKUP($B58,'Lichfield 10k'!$A:$C,3,FALSE),"")</f>
        <v/>
      </c>
      <c r="X58" s="71" t="str">
        <f>IFERROR(VLOOKUP($B58,'Adrian Smith'!$A:$C,3,FALSE),"")</f>
        <v/>
      </c>
      <c r="Y58" s="71" t="str">
        <f>IFERROR(VLOOKUP($B58,'Tamworth 5'!$A:$C,3,FALSE),"")</f>
        <v/>
      </c>
      <c r="Z58" s="72" t="str">
        <f>IFERROR(VLOOKUP($B58,'Bagworth XC'!$A:$C,3,FALSE),"")</f>
        <v/>
      </c>
      <c r="AA58" s="71" t="str">
        <f>IFERROR(VLOOKUP($B58,'Markfield 10k'!$A:$C,3,FALSE),"")</f>
        <v/>
      </c>
      <c r="AB58" s="71" t="str">
        <f>IFERROR(VLOOKUP($B58,'Shepshed 7'!$A:$C,3,FALSE),"")</f>
        <v/>
      </c>
    </row>
    <row r="59" spans="1:28" x14ac:dyDescent="0.25">
      <c r="B59" s="70" t="s">
        <v>129</v>
      </c>
      <c r="C59" s="81">
        <f>IF(Table222[[#This Row],[Total races]]=0,0,(RANK(E59,$E$3:$E$63)+COUNTIF(E$57:$E59,E59)-1))</f>
        <v>0</v>
      </c>
      <c r="D59" s="71">
        <f>COUNTIF(F59:AB59,"&gt;=0")</f>
        <v>0</v>
      </c>
      <c r="E59" s="71">
        <f t="array" aca="1" ref="E59" ca="1">IF(Table222[[#This Row],[Total races]]&lt;11,SUM(Table222[[#This Row],[Derby 5k]:[Shepshed 7]]),SUM(LARGE(F59:AB59,ROW(INDIRECT("1:10")))))+Table222[[#This Row],[Total races]]*3</f>
        <v>0</v>
      </c>
      <c r="F59" s="71" t="str">
        <f>IFERROR(VLOOKUP(B59,'Derby 5K'!$M$4:$V$15,10,FALSE),"")</f>
        <v/>
      </c>
      <c r="G59" s="71" t="str">
        <f>IFERROR(VLOOKUP(B59,'Grace Dieu XC'!$A:$C,3,FALSE),"")</f>
        <v/>
      </c>
      <c r="H59" s="71" t="str">
        <f>IFERROR(VLOOKUP(B59,'Bosworth XC'!$A:$C,3,FALSE),"")</f>
        <v/>
      </c>
      <c r="I59" s="71" t="str">
        <f>IFERROR(VLOOKUP($B59,'Kibworth 6'!$A:$C,3,FALSE),"")</f>
        <v/>
      </c>
      <c r="J59" s="71" t="str">
        <f>IFERROR(VLOOKUP($B59,'Ivanhoe 20'!$A:$C,3,FALSE),"")</f>
        <v/>
      </c>
      <c r="K59" s="71" t="str">
        <f>IFERROR(VLOOKUP($B59,'Run In Forest'!$A:$C,3,FALSE),"")</f>
        <v/>
      </c>
      <c r="L59" s="71" t="str">
        <f>IFERROR(VLOOKUP($B59,'Stilton 7'!$A:$C,3,FALSE),"")</f>
        <v/>
      </c>
      <c r="M59" s="71" t="str">
        <f>IFERROR(VLOOKUP($B59,'Uttoxeter HM'!$A:$C,3,FALSE),"")</f>
        <v/>
      </c>
      <c r="N59" s="71" t="str">
        <f>IFERROR(VLOOKUP($B59,'Bosworth HM'!$A:$C,3,FALSE),"")</f>
        <v/>
      </c>
      <c r="O59" s="71" t="str">
        <f>IFERROR(VLOOKUP($B59,'West End 8'!$A:$C,3,FALSE),"")</f>
        <v/>
      </c>
      <c r="P59" s="71" t="str">
        <f>IFERROR(VLOOKUP($B59,'Swithland 6'!$A:$C,3,FALSE),"")</f>
        <v/>
      </c>
      <c r="Q59" s="71" t="str">
        <f>IFERROR(VLOOKUP($B59,'Washlands Relays'!$A:$C,3,FALSE),"")</f>
        <v/>
      </c>
      <c r="R59" s="71" t="str">
        <f>IFERROR(VLOOKUP($B59,'Tara Kinder 10K'!$A:$C,3,FALSE),"")</f>
        <v/>
      </c>
      <c r="S59" s="71" t="str">
        <f>IFERROR(VLOOKUP($B59,'Worthington 6'!$A:$C,3,FALSE),"")</f>
        <v/>
      </c>
      <c r="T59" s="71" t="str">
        <f>IFERROR(VLOOKUP($B59,'Joy Cann 5'!$A:$C,3,FALSE),"")</f>
        <v/>
      </c>
      <c r="U59" s="71" t="str">
        <f>IFERROR(VLOOKUP($B59,'Burton 10k'!$A:$C,3,FALSE),"")</f>
        <v/>
      </c>
      <c r="V59" s="71" t="str">
        <f>IFERROR(VLOOKUP($B59,'Rotherby 8'!$A:$C,3,FALSE),"")</f>
        <v/>
      </c>
      <c r="W59" s="71" t="str">
        <f>IFERROR(VLOOKUP($B59,'Lichfield 10k'!$A:$C,3,FALSE),"")</f>
        <v/>
      </c>
      <c r="X59" s="71" t="str">
        <f>IFERROR(VLOOKUP($B59,'Adrian Smith'!$A:$C,3,FALSE),"")</f>
        <v/>
      </c>
      <c r="Y59" s="71" t="str">
        <f>IFERROR(VLOOKUP($B59,'Tamworth 5'!$A:$C,3,FALSE),"")</f>
        <v/>
      </c>
      <c r="Z59" s="72" t="str">
        <f>IFERROR(VLOOKUP($B59,'Bagworth XC'!$A:$C,3,FALSE),"")</f>
        <v/>
      </c>
      <c r="AA59" s="71" t="str">
        <f>IFERROR(VLOOKUP($B59,'Markfield 10k'!$A:$C,3,FALSE),"")</f>
        <v/>
      </c>
      <c r="AB59" s="71" t="str">
        <f>IFERROR(VLOOKUP($B59,'Shepshed 7'!$A:$C,3,FALSE),"")</f>
        <v/>
      </c>
    </row>
    <row r="60" spans="1:28" x14ac:dyDescent="0.25">
      <c r="B60" s="70" t="s">
        <v>60</v>
      </c>
      <c r="C60" s="81">
        <f>IF(Table222[[#This Row],[Total races]]=0,0,(RANK(E60,$E$3:$E$63)+COUNTIF(E$57:$E60,E60)-1))</f>
        <v>0</v>
      </c>
      <c r="D60" s="71">
        <f>COUNTIF(F60:AB60,"&gt;=0")</f>
        <v>0</v>
      </c>
      <c r="E60" s="71">
        <f t="array" aca="1" ref="E60" ca="1">IF(Table222[[#This Row],[Total races]]&lt;11,SUM(Table222[[#This Row],[Derby 5k]:[Shepshed 7]]),SUM(LARGE(F60:AB60,ROW(INDIRECT("1:10")))))+Table222[[#This Row],[Total races]]*3</f>
        <v>0</v>
      </c>
      <c r="F60" s="71" t="str">
        <f>IFERROR(VLOOKUP(B60,'Derby 5K'!$M$4:$V$15,10,FALSE),"")</f>
        <v/>
      </c>
      <c r="G60" s="71" t="str">
        <f>IFERROR(VLOOKUP(B60,'Grace Dieu XC'!$A:$C,3,FALSE),"")</f>
        <v/>
      </c>
      <c r="H60" s="71" t="str">
        <f>IFERROR(VLOOKUP(B60,'Bosworth XC'!$A:$C,3,FALSE),"")</f>
        <v/>
      </c>
      <c r="I60" s="71" t="str">
        <f>IFERROR(VLOOKUP($B60,'Kibworth 6'!$A:$C,3,FALSE),"")</f>
        <v/>
      </c>
      <c r="J60" s="71" t="str">
        <f>IFERROR(VLOOKUP($B60,'Ivanhoe 20'!$A:$C,3,FALSE),"")</f>
        <v/>
      </c>
      <c r="K60" s="71" t="str">
        <f>IFERROR(VLOOKUP($B60,'Run In Forest'!$A:$C,3,FALSE),"")</f>
        <v/>
      </c>
      <c r="L60" s="71" t="str">
        <f>IFERROR(VLOOKUP($B60,'Stilton 7'!$A:$C,3,FALSE),"")</f>
        <v/>
      </c>
      <c r="M60" s="71" t="str">
        <f>IFERROR(VLOOKUP($B60,'Uttoxeter HM'!$A:$C,3,FALSE),"")</f>
        <v/>
      </c>
      <c r="N60" s="71" t="str">
        <f>IFERROR(VLOOKUP($B60,'Bosworth HM'!$A:$C,3,FALSE),"")</f>
        <v/>
      </c>
      <c r="O60" s="71" t="str">
        <f>IFERROR(VLOOKUP($B60,'West End 8'!$A:$C,3,FALSE),"")</f>
        <v/>
      </c>
      <c r="P60" s="71" t="str">
        <f>IFERROR(VLOOKUP($B60,'Swithland 6'!$A:$C,3,FALSE),"")</f>
        <v/>
      </c>
      <c r="Q60" s="71" t="str">
        <f>IFERROR(VLOOKUP($B60,'Washlands Relays'!$A:$C,3,FALSE),"")</f>
        <v/>
      </c>
      <c r="R60" s="71" t="str">
        <f>IFERROR(VLOOKUP($B60,'Tara Kinder 10K'!$A:$C,3,FALSE),"")</f>
        <v/>
      </c>
      <c r="S60" s="71" t="str">
        <f>IFERROR(VLOOKUP($B60,'Worthington 6'!$A:$C,3,FALSE),"")</f>
        <v/>
      </c>
      <c r="T60" s="71" t="str">
        <f>IFERROR(VLOOKUP($B60,'Joy Cann 5'!$A:$C,3,FALSE),"")</f>
        <v/>
      </c>
      <c r="U60" s="71" t="str">
        <f>IFERROR(VLOOKUP($B60,'Burton 10k'!$A:$C,3,FALSE),"")</f>
        <v/>
      </c>
      <c r="V60" s="71" t="str">
        <f>IFERROR(VLOOKUP($B60,'Rotherby 8'!$A:$C,3,FALSE),"")</f>
        <v/>
      </c>
      <c r="W60" s="71" t="str">
        <f>IFERROR(VLOOKUP($B60,'Lichfield 10k'!$A:$C,3,FALSE),"")</f>
        <v/>
      </c>
      <c r="X60" s="71" t="str">
        <f>IFERROR(VLOOKUP($B60,'Adrian Smith'!$A:$C,3,FALSE),"")</f>
        <v/>
      </c>
      <c r="Y60" s="71" t="str">
        <f>IFERROR(VLOOKUP($B60,'Tamworth 5'!$A:$C,3,FALSE),"")</f>
        <v/>
      </c>
      <c r="Z60" s="72" t="str">
        <f>IFERROR(VLOOKUP($B60,'Bagworth XC'!$A:$C,3,FALSE),"")</f>
        <v/>
      </c>
      <c r="AA60" s="71" t="str">
        <f>IFERROR(VLOOKUP($B60,'Markfield 10k'!$A:$C,3,FALSE),"")</f>
        <v/>
      </c>
      <c r="AB60" s="71" t="str">
        <f>IFERROR(VLOOKUP($B60,'Shepshed 7'!$A:$C,3,FALSE),"")</f>
        <v/>
      </c>
    </row>
    <row r="61" spans="1:28" x14ac:dyDescent="0.25">
      <c r="B61" s="70" t="s">
        <v>22</v>
      </c>
      <c r="C61" s="81">
        <f>IF(Table222[[#This Row],[Total races]]=0,0,(RANK(E61,$E$3:$E$63)+COUNTIF(E$57:$E61,E61)-1))</f>
        <v>0</v>
      </c>
      <c r="D61" s="71">
        <f>COUNTIF(F61:AB61,"&gt;=0")</f>
        <v>0</v>
      </c>
      <c r="E61" s="71">
        <f t="array" aca="1" ref="E61" ca="1">IF(Table222[[#This Row],[Total races]]&lt;11,SUM(Table222[[#This Row],[Derby 5k]:[Shepshed 7]]),SUM(LARGE(F61:AB61,ROW(INDIRECT("1:10")))))+Table222[[#This Row],[Total races]]*3</f>
        <v>0</v>
      </c>
      <c r="F61" s="71" t="str">
        <f>IFERROR(VLOOKUP(B61,'Derby 5K'!$M$4:$V$15,10,FALSE),"")</f>
        <v/>
      </c>
      <c r="G61" s="71" t="str">
        <f>IFERROR(VLOOKUP(B61,'Grace Dieu XC'!$A:$C,3,FALSE),"")</f>
        <v/>
      </c>
      <c r="H61" s="71" t="str">
        <f>IFERROR(VLOOKUP(B61,'Bosworth XC'!$A:$C,3,FALSE),"")</f>
        <v/>
      </c>
      <c r="I61" s="71" t="str">
        <f>IFERROR(VLOOKUP($B61,'Kibworth 6'!$A:$C,3,FALSE),"")</f>
        <v/>
      </c>
      <c r="J61" s="71" t="str">
        <f>IFERROR(VLOOKUP($B61,'Ivanhoe 20'!$A:$C,3,FALSE),"")</f>
        <v/>
      </c>
      <c r="K61" s="71" t="str">
        <f>IFERROR(VLOOKUP($B61,'Run In Forest'!$A:$C,3,FALSE),"")</f>
        <v/>
      </c>
      <c r="L61" s="71" t="str">
        <f>IFERROR(VLOOKUP($B61,'Stilton 7'!$A:$C,3,FALSE),"")</f>
        <v/>
      </c>
      <c r="M61" s="71" t="str">
        <f>IFERROR(VLOOKUP($B61,'Uttoxeter HM'!$A:$C,3,FALSE),"")</f>
        <v/>
      </c>
      <c r="N61" s="71" t="str">
        <f>IFERROR(VLOOKUP($B61,'Bosworth HM'!$A:$C,3,FALSE),"")</f>
        <v/>
      </c>
      <c r="O61" s="71" t="str">
        <f>IFERROR(VLOOKUP($B61,'West End 8'!$A:$C,3,FALSE),"")</f>
        <v/>
      </c>
      <c r="P61" s="71" t="str">
        <f>IFERROR(VLOOKUP($B61,'Swithland 6'!$A:$C,3,FALSE),"")</f>
        <v/>
      </c>
      <c r="Q61" s="71" t="str">
        <f>IFERROR(VLOOKUP($B61,'Washlands Relays'!$A:$C,3,FALSE),"")</f>
        <v/>
      </c>
      <c r="R61" s="71" t="str">
        <f>IFERROR(VLOOKUP($B61,'Tara Kinder 10K'!$A:$C,3,FALSE),"")</f>
        <v/>
      </c>
      <c r="S61" s="71" t="str">
        <f>IFERROR(VLOOKUP($B61,'Worthington 6'!$A:$C,3,FALSE),"")</f>
        <v/>
      </c>
      <c r="T61" s="71" t="str">
        <f>IFERROR(VLOOKUP($B61,'Joy Cann 5'!$A:$C,3,FALSE),"")</f>
        <v/>
      </c>
      <c r="U61" s="71" t="str">
        <f>IFERROR(VLOOKUP($B61,'Burton 10k'!$A:$C,3,FALSE),"")</f>
        <v/>
      </c>
      <c r="V61" s="71" t="str">
        <f>IFERROR(VLOOKUP($B61,'Rotherby 8'!$A:$C,3,FALSE),"")</f>
        <v/>
      </c>
      <c r="W61" s="71" t="str">
        <f>IFERROR(VLOOKUP($B61,'Lichfield 10k'!$A:$C,3,FALSE),"")</f>
        <v/>
      </c>
      <c r="X61" s="71" t="str">
        <f>IFERROR(VLOOKUP($B61,'Adrian Smith'!$A:$C,3,FALSE),"")</f>
        <v/>
      </c>
      <c r="Y61" s="71" t="str">
        <f>IFERROR(VLOOKUP($B61,'Tamworth 5'!$A:$C,3,FALSE),"")</f>
        <v/>
      </c>
      <c r="Z61" s="72" t="str">
        <f>IFERROR(VLOOKUP($B61,'Bagworth XC'!$A:$C,3,FALSE),"")</f>
        <v/>
      </c>
      <c r="AA61" s="71" t="str">
        <f>IFERROR(VLOOKUP($B61,'Markfield 10k'!$A:$C,3,FALSE),"")</f>
        <v/>
      </c>
      <c r="AB61" s="71" t="str">
        <f>IFERROR(VLOOKUP($B61,'Shepshed 7'!$A:$C,3,FALSE),"")</f>
        <v/>
      </c>
    </row>
    <row r="62" spans="1:28" x14ac:dyDescent="0.25">
      <c r="B62" s="70" t="s">
        <v>121</v>
      </c>
      <c r="C62" s="81">
        <f>IF(Table222[[#This Row],[Total races]]=0,0,(RANK(E62,$E$3:$E$63)+COUNTIF(E$57:$E62,E62)-1))</f>
        <v>0</v>
      </c>
      <c r="D62" s="71">
        <f>COUNTIF(F62:AB62,"&gt;=0")</f>
        <v>0</v>
      </c>
      <c r="E62" s="71">
        <f t="array" aca="1" ref="E62" ca="1">IF(Table222[[#This Row],[Total races]]&lt;11,SUM(Table222[[#This Row],[Derby 5k]:[Shepshed 7]]),SUM(LARGE(F62:AB62,ROW(INDIRECT("1:10")))))+Table222[[#This Row],[Total races]]*3</f>
        <v>0</v>
      </c>
      <c r="F62" s="71" t="str">
        <f>IFERROR(VLOOKUP(B62,'Derby 5K'!$M$4:$V$15,10,FALSE),"")</f>
        <v/>
      </c>
      <c r="G62" s="71" t="str">
        <f>IFERROR(VLOOKUP(B62,'Grace Dieu XC'!$A:$C,3,FALSE),"")</f>
        <v/>
      </c>
      <c r="H62" s="71" t="str">
        <f>IFERROR(VLOOKUP(B62,'Bosworth XC'!$A:$C,3,FALSE),"")</f>
        <v/>
      </c>
      <c r="I62" s="71" t="str">
        <f>IFERROR(VLOOKUP($B62,'Kibworth 6'!$A:$C,3,FALSE),"")</f>
        <v/>
      </c>
      <c r="J62" s="71" t="str">
        <f>IFERROR(VLOOKUP($B62,'Ivanhoe 20'!$A:$C,3,FALSE),"")</f>
        <v/>
      </c>
      <c r="K62" s="71" t="str">
        <f>IFERROR(VLOOKUP($B62,'Run In Forest'!$A:$C,3,FALSE),"")</f>
        <v/>
      </c>
      <c r="L62" s="71" t="str">
        <f>IFERROR(VLOOKUP($B62,'Stilton 7'!$A:$C,3,FALSE),"")</f>
        <v/>
      </c>
      <c r="M62" s="71" t="str">
        <f>IFERROR(VLOOKUP($B62,'Uttoxeter HM'!$A:$C,3,FALSE),"")</f>
        <v/>
      </c>
      <c r="N62" s="71" t="str">
        <f>IFERROR(VLOOKUP($B62,'Bosworth HM'!$A:$C,3,FALSE),"")</f>
        <v/>
      </c>
      <c r="O62" s="71" t="str">
        <f>IFERROR(VLOOKUP($B62,'West End 8'!$A:$C,3,FALSE),"")</f>
        <v/>
      </c>
      <c r="P62" s="71" t="str">
        <f>IFERROR(VLOOKUP($B62,'Swithland 6'!$A:$C,3,FALSE),"")</f>
        <v/>
      </c>
      <c r="Q62" s="71" t="str">
        <f>IFERROR(VLOOKUP($B62,'Washlands Relays'!$A:$C,3,FALSE),"")</f>
        <v/>
      </c>
      <c r="R62" s="71" t="str">
        <f>IFERROR(VLOOKUP($B62,'Tara Kinder 10K'!$A:$C,3,FALSE),"")</f>
        <v/>
      </c>
      <c r="S62" s="71" t="str">
        <f>IFERROR(VLOOKUP($B62,'Worthington 6'!$A:$C,3,FALSE),"")</f>
        <v/>
      </c>
      <c r="T62" s="71" t="str">
        <f>IFERROR(VLOOKUP($B62,'Joy Cann 5'!$A:$C,3,FALSE),"")</f>
        <v/>
      </c>
      <c r="U62" s="71" t="str">
        <f>IFERROR(VLOOKUP($B62,'Burton 10k'!$A:$C,3,FALSE),"")</f>
        <v/>
      </c>
      <c r="V62" s="71" t="str">
        <f>IFERROR(VLOOKUP($B62,'Rotherby 8'!$A:$C,3,FALSE),"")</f>
        <v/>
      </c>
      <c r="W62" s="71" t="str">
        <f>IFERROR(VLOOKUP($B62,'Lichfield 10k'!$A:$C,3,FALSE),"")</f>
        <v/>
      </c>
      <c r="X62" s="71" t="str">
        <f>IFERROR(VLOOKUP($B62,'Adrian Smith'!$A:$C,3,FALSE),"")</f>
        <v/>
      </c>
      <c r="Y62" s="71" t="str">
        <f>IFERROR(VLOOKUP($B62,'Tamworth 5'!$A:$C,3,FALSE),"")</f>
        <v/>
      </c>
      <c r="Z62" s="72" t="str">
        <f>IFERROR(VLOOKUP($B62,'Bagworth XC'!$A:$C,3,FALSE),"")</f>
        <v/>
      </c>
      <c r="AA62" s="71" t="str">
        <f>IFERROR(VLOOKUP($B62,'Markfield 10k'!$A:$C,3,FALSE),"")</f>
        <v/>
      </c>
      <c r="AB62" s="71" t="str">
        <f>IFERROR(VLOOKUP($B62,'Shepshed 7'!$A:$C,3,FALSE),"")</f>
        <v/>
      </c>
    </row>
    <row r="63" spans="1:28" x14ac:dyDescent="0.25">
      <c r="B63" s="70" t="s">
        <v>126</v>
      </c>
      <c r="C63" s="81">
        <f>IF(Table222[[#This Row],[Total races]]=0,0,(RANK(E63,$E$3:$E$63)+COUNTIF(E$57:$E63,E63)-1))</f>
        <v>0</v>
      </c>
      <c r="D63" s="71">
        <f>COUNTIF(F63:AB63,"&gt;=0")</f>
        <v>0</v>
      </c>
      <c r="E63" s="71">
        <f t="array" aca="1" ref="E63" ca="1">IF(Table222[[#This Row],[Total races]]&lt;11,SUM(Table222[[#This Row],[Derby 5k]:[Shepshed 7]]),SUM(LARGE(F63:AB63,ROW(INDIRECT("1:10")))))+Table222[[#This Row],[Total races]]*3</f>
        <v>0</v>
      </c>
      <c r="F63" s="71" t="str">
        <f>IFERROR(VLOOKUP(B63,'Derby 5K'!$M$4:$V$15,10,FALSE),"")</f>
        <v/>
      </c>
      <c r="G63" s="71" t="str">
        <f>IFERROR(VLOOKUP(B63,'Grace Dieu XC'!$A:$C,3,FALSE),"")</f>
        <v/>
      </c>
      <c r="H63" s="71" t="str">
        <f>IFERROR(VLOOKUP(B63,'Bosworth XC'!$A:$C,3,FALSE),"")</f>
        <v/>
      </c>
      <c r="I63" s="71" t="str">
        <f>IFERROR(VLOOKUP($B63,'Kibworth 6'!$A:$C,3,FALSE),"")</f>
        <v/>
      </c>
      <c r="J63" s="71" t="str">
        <f>IFERROR(VLOOKUP($B63,'Ivanhoe 20'!$A:$C,3,FALSE),"")</f>
        <v/>
      </c>
      <c r="K63" s="71" t="str">
        <f>IFERROR(VLOOKUP($B63,'Run In Forest'!$A:$C,3,FALSE),"")</f>
        <v/>
      </c>
      <c r="L63" s="71" t="str">
        <f>IFERROR(VLOOKUP($B63,'Stilton 7'!$A:$C,3,FALSE),"")</f>
        <v/>
      </c>
      <c r="M63" s="71" t="str">
        <f>IFERROR(VLOOKUP($B63,'Uttoxeter HM'!$A:$C,3,FALSE),"")</f>
        <v/>
      </c>
      <c r="N63" s="71" t="str">
        <f>IFERROR(VLOOKUP($B63,'Bosworth HM'!$A:$C,3,FALSE),"")</f>
        <v/>
      </c>
      <c r="O63" s="71" t="str">
        <f>IFERROR(VLOOKUP($B63,'West End 8'!$A:$C,3,FALSE),"")</f>
        <v/>
      </c>
      <c r="P63" s="71" t="str">
        <f>IFERROR(VLOOKUP($B63,'Swithland 6'!$A:$C,3,FALSE),"")</f>
        <v/>
      </c>
      <c r="Q63" s="71" t="str">
        <f>IFERROR(VLOOKUP($B63,'Washlands Relays'!$A:$C,3,FALSE),"")</f>
        <v/>
      </c>
      <c r="R63" s="71" t="str">
        <f>IFERROR(VLOOKUP($B63,'Tara Kinder 10K'!$A:$C,3,FALSE),"")</f>
        <v/>
      </c>
      <c r="S63" s="71" t="str">
        <f>IFERROR(VLOOKUP($B63,'Worthington 6'!$A:$C,3,FALSE),"")</f>
        <v/>
      </c>
      <c r="T63" s="71" t="str">
        <f>IFERROR(VLOOKUP($B63,'Joy Cann 5'!$A:$C,3,FALSE),"")</f>
        <v/>
      </c>
      <c r="U63" s="71" t="str">
        <f>IFERROR(VLOOKUP($B63,'Burton 10k'!$A:$C,3,FALSE),"")</f>
        <v/>
      </c>
      <c r="V63" s="71" t="str">
        <f>IFERROR(VLOOKUP($B63,'Rotherby 8'!$A:$C,3,FALSE),"")</f>
        <v/>
      </c>
      <c r="W63" s="71" t="str">
        <f>IFERROR(VLOOKUP($B63,'Lichfield 10k'!$A:$C,3,FALSE),"")</f>
        <v/>
      </c>
      <c r="X63" s="71" t="str">
        <f>IFERROR(VLOOKUP($B63,'Adrian Smith'!$A:$C,3,FALSE),"")</f>
        <v/>
      </c>
      <c r="Y63" s="71" t="str">
        <f>IFERROR(VLOOKUP($B63,'Tamworth 5'!$A:$C,3,FALSE),"")</f>
        <v/>
      </c>
      <c r="Z63" s="72" t="str">
        <f>IFERROR(VLOOKUP($B63,'Bagworth XC'!$A:$C,3,FALSE),"")</f>
        <v/>
      </c>
      <c r="AA63" s="71" t="str">
        <f>IFERROR(VLOOKUP($B63,'Markfield 10k'!$A:$C,3,FALSE),"")</f>
        <v/>
      </c>
      <c r="AB63" s="71" t="str">
        <f>IFERROR(VLOOKUP($B63,'Shepshed 7'!$A:$C,3,FALSE),"")</f>
        <v/>
      </c>
    </row>
  </sheetData>
  <phoneticPr fontId="11" type="noConversion"/>
  <hyperlinks>
    <hyperlink ref="F2" location="'Derby 5K'!A1" display="Derby 5k" xr:uid="{7ABB9867-96F5-4C34-B8B6-D1D9BCF9B2F1}"/>
    <hyperlink ref="H2" location="'Bosworth XC'!A1" display="Bosworth XC" xr:uid="{BB5B0DED-7B14-4581-AC0D-CFD3B3837DD4}"/>
    <hyperlink ref="I2" location="'Kibworth 6'!A1" display="Kibworth 6" xr:uid="{B4A7C421-D362-4412-AAF1-A84054777E36}"/>
    <hyperlink ref="J2" location="'Ivanhoe 20'!A1" display="Ivanhoe 20" xr:uid="{E224320A-03D3-48EA-A1C6-22CF1E722775}"/>
    <hyperlink ref="K2" location="'Run In Forest'!A1" display="Run In Forest" xr:uid="{10D35268-5224-4A4F-889C-9C3E1DEC4EA8}"/>
    <hyperlink ref="M2" location="'Uttoxeter HM'!A1" display="Uttoxeter HM" xr:uid="{CEC56C75-EBE4-4BF8-B866-2D8DF1546CD5}"/>
    <hyperlink ref="N2" location="'Bosworth HM'!A1" display="Bosworth HM" xr:uid="{F69CC52E-9259-4539-B89C-89567BAE056C}"/>
    <hyperlink ref="O2" location="'West End 8'!A1" display="West End 8" xr:uid="{597A1911-1D2B-4C73-9BA0-03356C04907F}"/>
    <hyperlink ref="P2" location="'Swithland 6'!A1" display="Swithland 6" xr:uid="{A7E3F0E8-A6EE-4ED5-8B1A-8B01B78614CA}"/>
    <hyperlink ref="Q2" location="'Washlands Relays'!A1" display="Washlands Relays" xr:uid="{87D31860-F952-4907-BC0E-7237CF4A76FE}"/>
    <hyperlink ref="R2" location="'Desford 5'!A1" display="Desford 5" xr:uid="{EFD75F80-72ED-4A04-B988-6A7EAFF24930}"/>
    <hyperlink ref="S2" location="'Worthington 6'!A1" display="Worthington 6" xr:uid="{5D09199A-3B02-48E6-B70D-98756300FA24}"/>
    <hyperlink ref="T2" location="'Joy Cann 5'!A1" display="Joy Cann 5" xr:uid="{7DC34379-BFB5-419D-BBE0-DCC9A384AA4C}"/>
    <hyperlink ref="U2" location="'Burton 10k'!A1" display="Burton 10k" xr:uid="{017DFD94-2E68-4AE3-BDEE-A3E0152B281F}"/>
    <hyperlink ref="V2" location="'Rotherby 8'!A1" display="Rotherby 8" xr:uid="{70B78C80-C586-4052-84F5-E19E01DA405C}"/>
    <hyperlink ref="W2" location="'Lichfield 10k'!A1" display="Lichfield 10k" xr:uid="{4D9C55A1-416D-4F5D-AAC5-C4F50CBD528D}"/>
    <hyperlink ref="X2" location="'Adrian Smith'!A1" display="Adrian Smith" xr:uid="{2253669E-B9DB-4DE6-86EA-CBE00BCFC71A}"/>
    <hyperlink ref="Y2" location="'Tamworth 5'!A1" display="Tamworth 5" xr:uid="{7B3C8B6E-CC90-4234-B04F-281F08237FE7}"/>
    <hyperlink ref="Z2" location="'1st XC of Season'!A1" display="XC" xr:uid="{E7E4C8B4-D869-4241-A95A-697DFFD29C59}"/>
    <hyperlink ref="G2" location="'Grace Dieu XC'!A1" display="Grace Dieu XC" xr:uid="{D10345FD-CCC8-4BAE-825E-BE1F2DCE673F}"/>
    <hyperlink ref="L2" location="'Stilton 7'!A1" display="Stilton 7" xr:uid="{C426F0A0-EC0B-441C-B35C-C93EBBF88A37}"/>
    <hyperlink ref="AA2" location="'Markfield 10k'!A1" display="Markfield 10k" xr:uid="{D24073DE-C674-4580-AC64-BAA7662000A8}"/>
    <hyperlink ref="AB2" location="'Shepshed 7'!A1" display="Shepshed 7" xr:uid="{724D52CC-F567-4720-874E-DD5A6A73EB95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9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9.140625" defaultRowHeight="15" x14ac:dyDescent="0.25"/>
  <cols>
    <col min="1" max="1" width="9.140625" style="1"/>
    <col min="2" max="2" width="29" style="1" customWidth="1"/>
    <col min="3" max="3" width="9.7109375" style="1" customWidth="1"/>
    <col min="4" max="5" width="9.5703125" style="1" customWidth="1"/>
    <col min="6" max="6" width="9.140625" style="6" customWidth="1"/>
    <col min="7" max="7" width="9.85546875" style="1" bestFit="1" customWidth="1"/>
    <col min="8" max="18" width="9.140625" style="1"/>
    <col min="19" max="24" width="9.140625" style="6"/>
    <col min="25" max="16384" width="9.140625" style="1"/>
  </cols>
  <sheetData>
    <row r="1" spans="1:28" x14ac:dyDescent="0.25">
      <c r="F1" s="11"/>
    </row>
    <row r="2" spans="1:28" ht="85.5" customHeight="1" x14ac:dyDescent="0.25">
      <c r="B2" s="32" t="s">
        <v>0</v>
      </c>
      <c r="C2" s="33" t="s">
        <v>20</v>
      </c>
      <c r="D2" s="33" t="s">
        <v>35</v>
      </c>
      <c r="E2" s="33" t="s">
        <v>34</v>
      </c>
      <c r="F2" s="77" t="s">
        <v>108</v>
      </c>
      <c r="G2" s="77" t="s">
        <v>138</v>
      </c>
      <c r="H2" s="77" t="s">
        <v>109</v>
      </c>
      <c r="I2" s="77" t="s">
        <v>110</v>
      </c>
      <c r="J2" s="77" t="s">
        <v>44</v>
      </c>
      <c r="K2" s="77" t="s">
        <v>112</v>
      </c>
      <c r="L2" s="77" t="s">
        <v>139</v>
      </c>
      <c r="M2" s="77" t="s">
        <v>79</v>
      </c>
      <c r="N2" s="77" t="s">
        <v>113</v>
      </c>
      <c r="O2" s="77" t="s">
        <v>80</v>
      </c>
      <c r="P2" s="77" t="s">
        <v>62</v>
      </c>
      <c r="Q2" s="77" t="s">
        <v>67</v>
      </c>
      <c r="R2" s="77" t="s">
        <v>140</v>
      </c>
      <c r="S2" s="77" t="s">
        <v>81</v>
      </c>
      <c r="T2" s="77" t="s">
        <v>73</v>
      </c>
      <c r="U2" s="77" t="s">
        <v>82</v>
      </c>
      <c r="V2" s="77" t="s">
        <v>83</v>
      </c>
      <c r="W2" s="77" t="s">
        <v>111</v>
      </c>
      <c r="X2" s="77" t="s">
        <v>84</v>
      </c>
      <c r="Y2" s="77" t="s">
        <v>76</v>
      </c>
      <c r="Z2" s="77" t="s">
        <v>399</v>
      </c>
      <c r="AA2" s="78" t="s">
        <v>141</v>
      </c>
      <c r="AB2" s="78" t="s">
        <v>142</v>
      </c>
    </row>
    <row r="3" spans="1:28" x14ac:dyDescent="0.25">
      <c r="A3" s="42">
        <f ca="1">IFERROR(Table2[[#This Row],[Position]],"")</f>
        <v>1</v>
      </c>
      <c r="B3" s="18" t="s">
        <v>2</v>
      </c>
      <c r="C3" s="81">
        <f ca="1">IF(Table2[[#This Row],[Total races]]=0,0,(RANK(E3,$E$3:$E$69)+COUNTIF(E3:$E$59,E3)-1))</f>
        <v>1</v>
      </c>
      <c r="D3" s="5">
        <f>COUNTIF(F3:AB3,"&gt;=0")</f>
        <v>10</v>
      </c>
      <c r="E3" s="5">
        <f t="array" aca="1" ref="E3" ca="1">IF(Table2[[#This Row],[Total races]]&lt;11,SUM(Table2[[#This Row],[Derby 5k]:[Shepshed 7]]),SUM(LARGE(F3:AB3,ROW(INDIRECT("1:10")))))+Table2[[#This Row],[Total races]]*3</f>
        <v>323</v>
      </c>
      <c r="F3" s="5">
        <f>IFERROR(VLOOKUP(B3,'Derby 5K'!$B$4:$K$15,10,FALSE),"")</f>
        <v>26</v>
      </c>
      <c r="G3" s="5" t="str">
        <f>IFERROR(VLOOKUP(B3,'Grace Dieu XC'!$A:$C,3,FALSE),"")</f>
        <v/>
      </c>
      <c r="H3" s="5" t="str">
        <f>IFERROR(VLOOKUP(B3,'Bosworth XC'!$A:$C,3,FALSE),"")</f>
        <v/>
      </c>
      <c r="I3" s="5" t="str">
        <f>IFERROR(VLOOKUP($B3,'Kibworth 6'!$A:$C,3,FALSE),"")</f>
        <v/>
      </c>
      <c r="J3" s="5" t="str">
        <f>IFERROR(VLOOKUP($B3,'Ivanhoe 20'!$A:$C,3,FALSE),"")</f>
        <v/>
      </c>
      <c r="K3" s="5" t="str">
        <f>IFERROR(VLOOKUP($B3,'Run In Forest'!$A:$C,3,FALSE),"")</f>
        <v/>
      </c>
      <c r="L3" s="5" t="str">
        <f>IFERROR(VLOOKUP($B3,'Stilton 7'!$A:$C,3,FALSE),"")</f>
        <v/>
      </c>
      <c r="M3" s="5" t="str">
        <f>IFERROR(VLOOKUP($B3,'Uttoxeter HM'!$A:$C,3,FALSE),"")</f>
        <v/>
      </c>
      <c r="N3" s="5">
        <f>IFERROR(VLOOKUP($B3,'Bosworth HM'!$A:$C,3,FALSE),"")</f>
        <v>30</v>
      </c>
      <c r="O3" s="5">
        <f>IFERROR(VLOOKUP($B3,'West End 8'!$A:$C,3,FALSE),"")</f>
        <v>30</v>
      </c>
      <c r="P3" s="5">
        <f>IFERROR(VLOOKUP($B3,'Swithland 6'!$A:$C,3,FALSE),"")</f>
        <v>30</v>
      </c>
      <c r="Q3" s="5">
        <f>IFERROR(VLOOKUP($B3,'Washlands Relays'!$A:$C,3,FALSE),"")</f>
        <v>29</v>
      </c>
      <c r="R3" s="5">
        <f>IFERROR(VLOOKUP($B3,'Tara Kinder 10K'!$A:$C,3,FALSE),"")</f>
        <v>28</v>
      </c>
      <c r="S3" s="5" t="str">
        <f>IFERROR(VLOOKUP($B3,'Worthington 6'!$A:$C,3,FALSE),"")</f>
        <v/>
      </c>
      <c r="T3" s="5">
        <f>IFERROR(VLOOKUP($B3,'Joy Cann 5'!$A:$C,3,FALSE),"")</f>
        <v>30</v>
      </c>
      <c r="U3" s="5">
        <f>IFERROR(VLOOKUP($B3,'Burton 10k'!$A:$C,3,FALSE),"")</f>
        <v>30</v>
      </c>
      <c r="V3" s="5" t="str">
        <f>IFERROR(VLOOKUP($B3,'Rotherby 8'!$A:$C,3,FALSE),"")</f>
        <v/>
      </c>
      <c r="W3" s="5" t="str">
        <f>IFERROR(VLOOKUP($B3,'Lichfield 10k'!$A:$C,3,FALSE),"")</f>
        <v/>
      </c>
      <c r="X3" s="5" t="str">
        <f>IFERROR(VLOOKUP($B3,'Adrian Smith'!$A:$C,3,FALSE),"")</f>
        <v/>
      </c>
      <c r="Y3" s="5" t="str">
        <f>IFERROR(VLOOKUP($B3,'Tamworth 5'!$A:$C,3,FALSE),"")</f>
        <v/>
      </c>
      <c r="Z3" s="5">
        <f>IFERROR(VLOOKUP($B3,'Bagworth XC'!$A:$C,3,FALSE),"")</f>
        <v>30</v>
      </c>
      <c r="AA3" s="76" t="str">
        <f>IFERROR(VLOOKUP($B3,'Markfield 10k'!$A:$C,3,FALSE),"")</f>
        <v/>
      </c>
      <c r="AB3" s="76">
        <f>IFERROR(VLOOKUP($B3,'Shepshed 7'!$A:$C,3,FALSE),"")</f>
        <v>30</v>
      </c>
    </row>
    <row r="4" spans="1:28" x14ac:dyDescent="0.25">
      <c r="A4" s="42">
        <f ca="1">IFERROR(Table2[[#This Row],[Position]],"")</f>
        <v>2</v>
      </c>
      <c r="B4" s="18" t="s">
        <v>1</v>
      </c>
      <c r="C4" s="81">
        <f ca="1">IF(Table2[[#This Row],[Total races]]=0,0,(RANK(E4,$E$3:$E$69)+COUNTIF(E4:$E$64,E4)-1))</f>
        <v>2</v>
      </c>
      <c r="D4" s="5">
        <f>COUNTIF(F4:AB4,"&gt;=0")</f>
        <v>10</v>
      </c>
      <c r="E4" s="5">
        <f t="array" aca="1" ref="E4" ca="1">IF(Table2[[#This Row],[Total races]]&lt;11,SUM(Table2[[#This Row],[Derby 5k]:[Shepshed 7]]),SUM(LARGE(F4:AB4,ROW(INDIRECT("1:10")))))+Table2[[#This Row],[Total races]]*3</f>
        <v>319</v>
      </c>
      <c r="F4" s="5" t="str">
        <f>IFERROR(VLOOKUP(B4,'Derby 5K'!$B$4:$K$15,10,FALSE),"")</f>
        <v/>
      </c>
      <c r="G4" s="5">
        <f>IFERROR(VLOOKUP(B4,'Grace Dieu XC'!$A:$C,3,FALSE),"")</f>
        <v>30</v>
      </c>
      <c r="H4" s="5">
        <f>IFERROR(VLOOKUP(B4,'Bosworth XC'!$A:$C,3,FALSE),"")</f>
        <v>30</v>
      </c>
      <c r="I4" s="5" t="str">
        <f>IFERROR(VLOOKUP($B4,'Kibworth 6'!$A:$C,3,FALSE),"")</f>
        <v/>
      </c>
      <c r="J4" s="5">
        <f>IFERROR(VLOOKUP($B4,'Ivanhoe 20'!$A:$C,3,FALSE),"")</f>
        <v>30</v>
      </c>
      <c r="K4" s="5">
        <f>IFERROR(VLOOKUP($B4,'Run In Forest'!$A:$C,3,FALSE),"")</f>
        <v>29</v>
      </c>
      <c r="L4" s="5" t="str">
        <f>IFERROR(VLOOKUP($B4,'Stilton 7'!$A:$C,3,FALSE),"")</f>
        <v/>
      </c>
      <c r="M4" s="5" t="str">
        <f>IFERROR(VLOOKUP($B4,'Uttoxeter HM'!$A:$C,3,FALSE),"")</f>
        <v/>
      </c>
      <c r="N4" s="5" t="str">
        <f>IFERROR(VLOOKUP($B4,'Bosworth HM'!$A:$C,3,FALSE),"")</f>
        <v/>
      </c>
      <c r="O4" s="5">
        <f>IFERROR(VLOOKUP($B4,'West End 8'!$A:$C,3,FALSE),"")</f>
        <v>29</v>
      </c>
      <c r="P4" s="5" t="str">
        <f>IFERROR(VLOOKUP($B4,'Swithland 6'!$A:$C,3,FALSE),"")</f>
        <v/>
      </c>
      <c r="Q4" s="5">
        <f>IFERROR(VLOOKUP($B4,'Washlands Relays'!$A:$C,3,FALSE),"")</f>
        <v>24</v>
      </c>
      <c r="R4" s="5" t="str">
        <f>IFERROR(VLOOKUP($B4,'Tara Kinder 10K'!$A:$C,3,FALSE),"")</f>
        <v/>
      </c>
      <c r="S4" s="5" t="str">
        <f>IFERROR(VLOOKUP($B4,'Worthington 6'!$A:$C,3,FALSE),"")</f>
        <v/>
      </c>
      <c r="T4" s="5" t="str">
        <f>IFERROR(VLOOKUP($B4,'Joy Cann 5'!$A:$C,3,FALSE),"")</f>
        <v/>
      </c>
      <c r="U4" s="5">
        <f>IFERROR(VLOOKUP($B4,'Burton 10k'!$A:$C,3,FALSE),"")</f>
        <v>29</v>
      </c>
      <c r="V4" s="5" t="str">
        <f>IFERROR(VLOOKUP($B4,'Rotherby 8'!$A:$C,3,FALSE),"")</f>
        <v/>
      </c>
      <c r="W4" s="5">
        <f>IFERROR(VLOOKUP($B4,'Lichfield 10k'!$A:$C,3,FALSE),"")</f>
        <v>30</v>
      </c>
      <c r="X4" s="5" t="str">
        <f>IFERROR(VLOOKUP($B4,'Adrian Smith'!$A:$C,3,FALSE),"")</f>
        <v/>
      </c>
      <c r="Y4" s="5">
        <f>IFERROR(VLOOKUP($B4,'Tamworth 5'!$A:$C,3,FALSE),"")</f>
        <v>29</v>
      </c>
      <c r="Z4" s="31">
        <f>IFERROR(VLOOKUP($B4,'Bagworth XC'!$A:$C,3,FALSE),"")</f>
        <v>29</v>
      </c>
      <c r="AA4" s="5" t="str">
        <f>IFERROR(VLOOKUP($B4,'Markfield 10k'!$A:$C,3,FALSE),"")</f>
        <v/>
      </c>
      <c r="AB4" s="5" t="str">
        <f>IFERROR(VLOOKUP($B4,'Shepshed 7'!$A:$C,3,FALSE),"")</f>
        <v/>
      </c>
    </row>
    <row r="5" spans="1:28" x14ac:dyDescent="0.25">
      <c r="A5" s="42">
        <f ca="1">IFERROR(Table2[[#This Row],[Position]],"")</f>
        <v>3</v>
      </c>
      <c r="B5" s="18" t="s">
        <v>69</v>
      </c>
      <c r="C5" s="81">
        <f ca="1">IF(Table2[[#This Row],[Total races]]=0,0,(RANK(E5,$E$3:$E$69)+COUNTIF(E5:$E$59,E5)-1))</f>
        <v>3</v>
      </c>
      <c r="D5" s="5">
        <f>COUNTIF(F5:AB5,"&gt;=0")</f>
        <v>10</v>
      </c>
      <c r="E5" s="5">
        <f t="array" aca="1" ref="E5" ca="1">IF(Table2[[#This Row],[Total races]]&lt;11,SUM(Table2[[#This Row],[Derby 5k]:[Shepshed 7]]),SUM(LARGE(F5:AB5,ROW(INDIRECT("1:10")))))+Table2[[#This Row],[Total races]]*3</f>
        <v>309</v>
      </c>
      <c r="F5" s="5">
        <f>IFERROR(VLOOKUP(B5,'Derby 5K'!$B$4:$K$15,10,FALSE),"")</f>
        <v>30</v>
      </c>
      <c r="G5" s="5" t="str">
        <f>IFERROR(VLOOKUP(B5,'Grace Dieu XC'!$A:$C,3,FALSE),"")</f>
        <v/>
      </c>
      <c r="H5" s="5" t="str">
        <f>IFERROR(VLOOKUP(B5,'Bosworth XC'!$A:$C,3,FALSE),"")</f>
        <v/>
      </c>
      <c r="I5" s="5" t="str">
        <f>IFERROR(VLOOKUP($B5,'Kibworth 6'!$A:$C,3,FALSE),"")</f>
        <v/>
      </c>
      <c r="J5" s="5" t="str">
        <f>IFERROR(VLOOKUP($B5,'Ivanhoe 20'!$A:$C,3,FALSE),"")</f>
        <v/>
      </c>
      <c r="K5" s="5" t="str">
        <f>IFERROR(VLOOKUP($B5,'Run In Forest'!$A:$C,3,FALSE),"")</f>
        <v/>
      </c>
      <c r="L5" s="5" t="str">
        <f>IFERROR(VLOOKUP($B5,'Stilton 7'!$A:$C,3,FALSE),"")</f>
        <v/>
      </c>
      <c r="M5" s="5" t="str">
        <f>IFERROR(VLOOKUP($B5,'Uttoxeter HM'!$A:$C,3,FALSE),"")</f>
        <v/>
      </c>
      <c r="N5" s="5" t="str">
        <f>IFERROR(VLOOKUP($B5,'Bosworth HM'!$A:$C,3,FALSE),"")</f>
        <v/>
      </c>
      <c r="O5" s="5" t="str">
        <f>IFERROR(VLOOKUP($B5,'West End 8'!$A:$C,3,FALSE),"")</f>
        <v/>
      </c>
      <c r="P5" s="5" t="str">
        <f>IFERROR(VLOOKUP($B5,'Swithland 6'!$A:$C,3,FALSE),"")</f>
        <v/>
      </c>
      <c r="Q5" s="5">
        <f>IFERROR(VLOOKUP($B5,'Washlands Relays'!$A:$C,3,FALSE),"")</f>
        <v>27</v>
      </c>
      <c r="R5" s="5">
        <f>IFERROR(VLOOKUP($B5,'Tara Kinder 10K'!$A:$C,3,FALSE),"")</f>
        <v>22</v>
      </c>
      <c r="S5" s="5">
        <f>IFERROR(VLOOKUP($B5,'Worthington 6'!$A:$C,3,FALSE),"")</f>
        <v>29</v>
      </c>
      <c r="T5" s="5">
        <f>IFERROR(VLOOKUP($B5,'Joy Cann 5'!$A:$C,3,FALSE),"")</f>
        <v>29</v>
      </c>
      <c r="U5" s="5">
        <f>IFERROR(VLOOKUP($B5,'Burton 10k'!$A:$C,3,FALSE),"")</f>
        <v>24</v>
      </c>
      <c r="V5" s="5">
        <f>IFERROR(VLOOKUP($B5,'Rotherby 8'!$A:$C,3,FALSE),"")</f>
        <v>30</v>
      </c>
      <c r="W5" s="5">
        <f>IFERROR(VLOOKUP($B5,'Lichfield 10k'!$A:$C,3,FALSE),"")</f>
        <v>28</v>
      </c>
      <c r="X5" s="5">
        <f>IFERROR(VLOOKUP($B5,'Adrian Smith'!$A:$C,3,FALSE),"")</f>
        <v>30</v>
      </c>
      <c r="Y5" s="5">
        <f>IFERROR(VLOOKUP($B5,'Tamworth 5'!$A:$C,3,FALSE),"")</f>
        <v>30</v>
      </c>
      <c r="Z5" s="31" t="str">
        <f>IFERROR(VLOOKUP($B5,'Bagworth XC'!$A:$C,3,FALSE),"")</f>
        <v/>
      </c>
      <c r="AA5" s="5" t="str">
        <f>IFERROR(VLOOKUP($B5,'Markfield 10k'!$A:$C,3,FALSE),"")</f>
        <v/>
      </c>
      <c r="AB5" s="5" t="str">
        <f>IFERROR(VLOOKUP($B5,'Shepshed 7'!$A:$C,3,FALSE),"")</f>
        <v/>
      </c>
    </row>
    <row r="6" spans="1:28" x14ac:dyDescent="0.25">
      <c r="A6" s="42">
        <f ca="1">IFERROR(Table2[[#This Row],[Position]],"")</f>
        <v>4</v>
      </c>
      <c r="B6" s="18" t="s">
        <v>46</v>
      </c>
      <c r="C6" s="81">
        <f ca="1">IF(Table2[[#This Row],[Total races]]=0,0,(RANK(E6,$E$3:$E$69)+COUNTIF(E6:$E$59,E6)-1))</f>
        <v>4</v>
      </c>
      <c r="D6" s="5">
        <f>COUNTIF(F6:AB6,"&gt;=0")</f>
        <v>12</v>
      </c>
      <c r="E6" s="5">
        <f t="array" aca="1" ref="E6" ca="1">IF(Table2[[#This Row],[Total races]]&lt;11,SUM(Table2[[#This Row],[Derby 5k]:[Shepshed 7]]),SUM(LARGE(F6:AB6,ROW(INDIRECT("1:10")))))+Table2[[#This Row],[Total races]]*3</f>
        <v>303</v>
      </c>
      <c r="F6" s="5">
        <f>IFERROR(VLOOKUP(B6,'Derby 5K'!$B$4:$K$15,10,FALSE),"")</f>
        <v>28</v>
      </c>
      <c r="G6" s="5" t="str">
        <f>IFERROR(VLOOKUP(B6,'Grace Dieu XC'!$A:$C,3,FALSE),"")</f>
        <v/>
      </c>
      <c r="H6" s="5" t="str">
        <f>IFERROR(VLOOKUP(B6,'Bosworth XC'!$A:$C,3,FALSE),"")</f>
        <v/>
      </c>
      <c r="I6" s="5" t="str">
        <f>IFERROR(VLOOKUP($B6,'Kibworth 6'!$A:$C,3,FALSE),"")</f>
        <v/>
      </c>
      <c r="J6" s="5">
        <f>IFERROR(VLOOKUP($B6,'Ivanhoe 20'!$A:$C,3,FALSE),"")</f>
        <v>25</v>
      </c>
      <c r="K6" s="5" t="str">
        <f>IFERROR(VLOOKUP($B6,'Run In Forest'!$A:$C,3,FALSE),"")</f>
        <v/>
      </c>
      <c r="L6" s="5" t="str">
        <f>IFERROR(VLOOKUP($B6,'Stilton 7'!$A:$C,3,FALSE),"")</f>
        <v/>
      </c>
      <c r="M6" s="5">
        <f>IFERROR(VLOOKUP($B6,'Uttoxeter HM'!$A:$C,3,FALSE),"")</f>
        <v>29</v>
      </c>
      <c r="N6" s="5">
        <f>IFERROR(VLOOKUP($B6,'Bosworth HM'!$A:$C,3,FALSE),"")</f>
        <v>27</v>
      </c>
      <c r="O6" s="5">
        <f>IFERROR(VLOOKUP($B6,'West End 8'!$A:$C,3,FALSE),"")</f>
        <v>27</v>
      </c>
      <c r="P6" s="5">
        <f>IFERROR(VLOOKUP($B6,'Swithland 6'!$A:$C,3,FALSE),"")</f>
        <v>29</v>
      </c>
      <c r="Q6" s="5">
        <f>IFERROR(VLOOKUP($B6,'Washlands Relays'!$A:$C,3,FALSE),"")</f>
        <v>19</v>
      </c>
      <c r="R6" s="5">
        <f>IFERROR(VLOOKUP($B6,'Tara Kinder 10K'!$A:$C,3,FALSE),"")</f>
        <v>25</v>
      </c>
      <c r="S6" s="5">
        <f>IFERROR(VLOOKUP($B6,'Worthington 6'!$A:$C,3,FALSE),"")</f>
        <v>23</v>
      </c>
      <c r="T6" s="5" t="str">
        <f>IFERROR(VLOOKUP($B6,'Joy Cann 5'!$A:$C,3,FALSE),"")</f>
        <v/>
      </c>
      <c r="U6" s="5" t="str">
        <f>IFERROR(VLOOKUP($B6,'Burton 10k'!$A:$C,3,FALSE),"")</f>
        <v/>
      </c>
      <c r="V6" s="5" t="str">
        <f>IFERROR(VLOOKUP($B6,'Rotherby 8'!$A:$C,3,FALSE),"")</f>
        <v/>
      </c>
      <c r="W6" s="5">
        <f>IFERROR(VLOOKUP($B6,'Lichfield 10k'!$A:$C,3,FALSE),"")</f>
        <v>26</v>
      </c>
      <c r="X6" s="5" t="str">
        <f>IFERROR(VLOOKUP($B6,'Adrian Smith'!$A:$C,3,FALSE),"")</f>
        <v/>
      </c>
      <c r="Y6" s="5" t="str">
        <f>IFERROR(VLOOKUP($B6,'Tamworth 5'!$A:$C,3,FALSE),"")</f>
        <v/>
      </c>
      <c r="Z6" s="31">
        <f>IFERROR(VLOOKUP($B6,'Bagworth XC'!$A:$C,3,FALSE),"")</f>
        <v>23</v>
      </c>
      <c r="AA6" s="5" t="str">
        <f>IFERROR(VLOOKUP($B6,'Markfield 10k'!$A:$C,3,FALSE),"")</f>
        <v/>
      </c>
      <c r="AB6" s="5">
        <f>IFERROR(VLOOKUP($B6,'Shepshed 7'!$A:$C,3,FALSE),"")</f>
        <v>28</v>
      </c>
    </row>
    <row r="7" spans="1:28" x14ac:dyDescent="0.25">
      <c r="A7" s="42">
        <f ca="1">IFERROR(Table2[[#This Row],[Position]],"")</f>
        <v>5</v>
      </c>
      <c r="B7" s="18" t="s">
        <v>7</v>
      </c>
      <c r="C7" s="81">
        <f ca="1">IF(Table2[[#This Row],[Total races]]=0,0,(RANK(E7,$E$3:$E$69)+COUNTIF(E7:$E$59,E7)-1))</f>
        <v>5</v>
      </c>
      <c r="D7" s="5">
        <f>COUNTIF(F7:AB7,"&gt;=0")</f>
        <v>14</v>
      </c>
      <c r="E7" s="5">
        <f t="array" aca="1" ref="E7" ca="1">IF(Table2[[#This Row],[Total races]]&lt;11,SUM(Table2[[#This Row],[Derby 5k]:[Shepshed 7]]),SUM(LARGE(F7:AB7,ROW(INDIRECT("1:10")))))+Table2[[#This Row],[Total races]]*3</f>
        <v>293</v>
      </c>
      <c r="F7" s="5" t="str">
        <f>IFERROR(VLOOKUP(B7,'Derby 5K'!$B$4:$K$15,10,FALSE),"")</f>
        <v/>
      </c>
      <c r="G7" s="5">
        <f>IFERROR(VLOOKUP(B7,'Grace Dieu XC'!$A:$C,3,FALSE),"")</f>
        <v>23</v>
      </c>
      <c r="H7" s="5">
        <f>IFERROR(VLOOKUP(B7,'Bosworth XC'!$A:$C,3,FALSE),"")</f>
        <v>25</v>
      </c>
      <c r="I7" s="5">
        <f>IFERROR(VLOOKUP($B7,'Kibworth 6'!$A:$C,3,FALSE),"")</f>
        <v>28</v>
      </c>
      <c r="J7" s="5" t="str">
        <f>IFERROR(VLOOKUP($B7,'Ivanhoe 20'!$A:$C,3,FALSE),"")</f>
        <v/>
      </c>
      <c r="K7" s="5" t="str">
        <f>IFERROR(VLOOKUP($B7,'Run In Forest'!$A:$C,3,FALSE),"")</f>
        <v/>
      </c>
      <c r="L7" s="5">
        <f>IFERROR(VLOOKUP($B7,'Stilton 7'!$A:$C,3,FALSE),"")</f>
        <v>30</v>
      </c>
      <c r="M7" s="5" t="str">
        <f>IFERROR(VLOOKUP($B7,'Uttoxeter HM'!$A:$C,3,FALSE),"")</f>
        <v/>
      </c>
      <c r="N7" s="5" t="str">
        <f>IFERROR(VLOOKUP($B7,'Bosworth HM'!$A:$C,3,FALSE),"")</f>
        <v/>
      </c>
      <c r="O7" s="5">
        <f>IFERROR(VLOOKUP($B7,'West End 8'!$A:$C,3,FALSE),"")</f>
        <v>20</v>
      </c>
      <c r="P7" s="5">
        <f>IFERROR(VLOOKUP($B7,'Swithland 6'!$A:$C,3,FALSE),"")</f>
        <v>26</v>
      </c>
      <c r="Q7" s="5">
        <f>IFERROR(VLOOKUP($B7,'Washlands Relays'!$A:$C,3,FALSE),"")</f>
        <v>3</v>
      </c>
      <c r="R7" s="5">
        <f>IFERROR(VLOOKUP($B7,'Tara Kinder 10K'!$A:$C,3,FALSE),"")</f>
        <v>21</v>
      </c>
      <c r="S7" s="5" t="str">
        <f>IFERROR(VLOOKUP($B7,'Worthington 6'!$A:$C,3,FALSE),"")</f>
        <v/>
      </c>
      <c r="T7" s="5">
        <f>IFERROR(VLOOKUP($B7,'Joy Cann 5'!$A:$C,3,FALSE),"")</f>
        <v>24</v>
      </c>
      <c r="U7" s="5">
        <f>IFERROR(VLOOKUP($B7,'Burton 10k'!$A:$C,3,FALSE),"")</f>
        <v>20</v>
      </c>
      <c r="V7" s="5">
        <f>IFERROR(VLOOKUP($B7,'Rotherby 8'!$A:$C,3,FALSE),"")</f>
        <v>26</v>
      </c>
      <c r="W7" s="5" t="str">
        <f>IFERROR(VLOOKUP($B7,'Lichfield 10k'!$A:$C,3,FALSE),"")</f>
        <v/>
      </c>
      <c r="X7" s="5" t="str">
        <f>IFERROR(VLOOKUP($B7,'Adrian Smith'!$A:$C,3,FALSE),"")</f>
        <v/>
      </c>
      <c r="Y7" s="5">
        <f>IFERROR(VLOOKUP($B7,'Tamworth 5'!$A:$C,3,FALSE),"")</f>
        <v>16</v>
      </c>
      <c r="Z7" s="31">
        <f>IFERROR(VLOOKUP($B7,'Bagworth XC'!$A:$C,3,FALSE),"")</f>
        <v>17</v>
      </c>
      <c r="AA7" s="5">
        <f>IFERROR(VLOOKUP($B7,'Markfield 10k'!$A:$C,3,FALSE),"")</f>
        <v>28</v>
      </c>
      <c r="AB7" s="5" t="str">
        <f>IFERROR(VLOOKUP($B7,'Shepshed 7'!$A:$C,3,FALSE),"")</f>
        <v/>
      </c>
    </row>
    <row r="8" spans="1:28" x14ac:dyDescent="0.25">
      <c r="A8" s="42">
        <f ca="1">IFERROR(Table2[[#This Row],[Position]],"")</f>
        <v>6</v>
      </c>
      <c r="B8" s="18" t="s">
        <v>177</v>
      </c>
      <c r="C8" s="81">
        <f ca="1">IF(Table2[[#This Row],[Total races]]=0,0,(RANK(E8,$E$3:$E$69)+COUNTIF(E8:$E$59,E8)-1))</f>
        <v>6</v>
      </c>
      <c r="D8" s="5">
        <f>COUNTIF(F8:AB8,"&gt;=0")</f>
        <v>14</v>
      </c>
      <c r="E8" s="5">
        <f t="array" aca="1" ref="E8" ca="1">IF(Table2[[#This Row],[Total races]]&lt;11,SUM(Table2[[#This Row],[Derby 5k]:[Shepshed 7]]),SUM(LARGE(F8:AB8,ROW(INDIRECT("1:10")))))+Table2[[#This Row],[Total races]]*3</f>
        <v>283</v>
      </c>
      <c r="F8" s="5" t="str">
        <f>IFERROR(VLOOKUP(B8,'Derby 5K'!$B$4:$K$15,10,FALSE),"")</f>
        <v/>
      </c>
      <c r="G8" s="5" t="str">
        <f>IFERROR(VLOOKUP(B8,'Grace Dieu XC'!$A:$C,3,FALSE),"")</f>
        <v/>
      </c>
      <c r="H8" s="5">
        <f>IFERROR(VLOOKUP(B8,'Bosworth XC'!$A:$C,3,FALSE),"")</f>
        <v>24</v>
      </c>
      <c r="I8" s="5" t="str">
        <f>IFERROR(VLOOKUP($B8,'Kibworth 6'!$A:$C,3,FALSE),"")</f>
        <v/>
      </c>
      <c r="J8" s="5" t="str">
        <f>IFERROR(VLOOKUP($B8,'Ivanhoe 20'!$A:$C,3,FALSE),"")</f>
        <v/>
      </c>
      <c r="K8" s="5">
        <f>IFERROR(VLOOKUP($B8,'Run In Forest'!$A:$C,3,FALSE),"")</f>
        <v>23</v>
      </c>
      <c r="L8" s="5" t="str">
        <f>IFERROR(VLOOKUP($B8,'Stilton 7'!$A:$C,3,FALSE),"")</f>
        <v/>
      </c>
      <c r="M8" s="5" t="str">
        <f>IFERROR(VLOOKUP($B8,'Uttoxeter HM'!$A:$C,3,FALSE),"")</f>
        <v/>
      </c>
      <c r="N8" s="5">
        <f>IFERROR(VLOOKUP($B8,'Bosworth HM'!$A:$C,3,FALSE),"")</f>
        <v>19</v>
      </c>
      <c r="O8" s="5">
        <f>IFERROR(VLOOKUP($B8,'West End 8'!$A:$C,3,FALSE),"")</f>
        <v>19</v>
      </c>
      <c r="P8" s="5" t="str">
        <f>IFERROR(VLOOKUP($B8,'Swithland 6'!$A:$C,3,FALSE),"")</f>
        <v/>
      </c>
      <c r="Q8" s="5">
        <f>IFERROR(VLOOKUP($B8,'Washlands Relays'!$A:$C,3,FALSE),"")</f>
        <v>10</v>
      </c>
      <c r="R8" s="5" t="str">
        <f>IFERROR(VLOOKUP($B8,'Tara Kinder 10K'!$A:$C,3,FALSE),"")</f>
        <v/>
      </c>
      <c r="S8" s="5">
        <f>IFERROR(VLOOKUP($B8,'Worthington 6'!$A:$C,3,FALSE),"")</f>
        <v>19</v>
      </c>
      <c r="T8" s="5" t="str">
        <f>IFERROR(VLOOKUP($B8,'Joy Cann 5'!$A:$C,3,FALSE),"")</f>
        <v/>
      </c>
      <c r="U8" s="5">
        <f>IFERROR(VLOOKUP($B8,'Burton 10k'!$A:$C,3,FALSE),"")</f>
        <v>23</v>
      </c>
      <c r="V8" s="5">
        <f>IFERROR(VLOOKUP($B8,'Rotherby 8'!$A:$C,3,FALSE),"")</f>
        <v>28</v>
      </c>
      <c r="W8" s="5">
        <f>IFERROR(VLOOKUP($B8,'Lichfield 10k'!$A:$C,3,FALSE),"")</f>
        <v>25</v>
      </c>
      <c r="X8" s="5">
        <f>IFERROR(VLOOKUP($B8,'Adrian Smith'!$A:$C,3,FALSE),"")</f>
        <v>23</v>
      </c>
      <c r="Y8" s="5">
        <f>IFERROR(VLOOKUP($B8,'Tamworth 5'!$A:$C,3,FALSE),"")</f>
        <v>19</v>
      </c>
      <c r="Z8" s="31">
        <f>IFERROR(VLOOKUP($B8,'Bagworth XC'!$A:$C,3,FALSE),"")</f>
        <v>21</v>
      </c>
      <c r="AA8" s="5">
        <f>IFERROR(VLOOKUP($B8,'Markfield 10k'!$A:$C,3,FALSE),"")</f>
        <v>29</v>
      </c>
      <c r="AB8" s="5">
        <f>IFERROR(VLOOKUP($B8,'Shepshed 7'!$A:$C,3,FALSE),"")</f>
        <v>26</v>
      </c>
    </row>
    <row r="9" spans="1:28" x14ac:dyDescent="0.25">
      <c r="A9" s="42">
        <f ca="1">IFERROR(Table2[[#This Row],[Position]],"")</f>
        <v>7</v>
      </c>
      <c r="B9" s="18" t="s">
        <v>128</v>
      </c>
      <c r="C9" s="81">
        <f ca="1">IF(Table2[[#This Row],[Total races]]=0,0,(RANK(E9,$E$3:$E$69)+COUNTIF(E9:$E$59,E9)-1))</f>
        <v>7</v>
      </c>
      <c r="D9" s="5">
        <f>COUNTIF(F9:AB9,"&gt;=0")</f>
        <v>10</v>
      </c>
      <c r="E9" s="5">
        <f t="array" aca="1" ref="E9" ca="1">IF(Table2[[#This Row],[Total races]]&lt;11,SUM(Table2[[#This Row],[Derby 5k]:[Shepshed 7]]),SUM(LARGE(F9:AB9,ROW(INDIRECT("1:10")))))+Table2[[#This Row],[Total races]]*3</f>
        <v>272</v>
      </c>
      <c r="F9" s="5">
        <f>IFERROR(VLOOKUP(B9,'Derby 5K'!$B$4:$K$15,10,FALSE),"")</f>
        <v>27</v>
      </c>
      <c r="G9" s="5" t="str">
        <f>IFERROR(VLOOKUP(B9,'Grace Dieu XC'!$A:$C,3,FALSE),"")</f>
        <v/>
      </c>
      <c r="H9" s="5" t="str">
        <f>IFERROR(VLOOKUP(B9,'Bosworth XC'!$A:$C,3,FALSE),"")</f>
        <v/>
      </c>
      <c r="I9" s="5" t="str">
        <f>IFERROR(VLOOKUP($B9,'Kibworth 6'!$A:$C,3,FALSE),"")</f>
        <v/>
      </c>
      <c r="J9" s="5" t="str">
        <f>IFERROR(VLOOKUP($B9,'Ivanhoe 20'!$A:$C,3,FALSE),"")</f>
        <v/>
      </c>
      <c r="K9" s="5">
        <f>IFERROR(VLOOKUP($B9,'Run In Forest'!$A:$C,3,FALSE),"")</f>
        <v>25</v>
      </c>
      <c r="L9" s="5" t="str">
        <f>IFERROR(VLOOKUP($B9,'Stilton 7'!$A:$C,3,FALSE),"")</f>
        <v/>
      </c>
      <c r="M9" s="5" t="str">
        <f>IFERROR(VLOOKUP($B9,'Uttoxeter HM'!$A:$C,3,FALSE),"")</f>
        <v/>
      </c>
      <c r="N9" s="5" t="str">
        <f>IFERROR(VLOOKUP($B9,'Bosworth HM'!$A:$C,3,FALSE),"")</f>
        <v/>
      </c>
      <c r="O9" s="5">
        <f>IFERROR(VLOOKUP($B9,'West End 8'!$A:$C,3,FALSE),"")</f>
        <v>25</v>
      </c>
      <c r="P9" s="5" t="str">
        <f>IFERROR(VLOOKUP($B9,'Swithland 6'!$A:$C,3,FALSE),"")</f>
        <v/>
      </c>
      <c r="Q9" s="5">
        <f>IFERROR(VLOOKUP($B9,'Washlands Relays'!$A:$C,3,FALSE),"")</f>
        <v>23</v>
      </c>
      <c r="R9" s="5" t="str">
        <f>IFERROR(VLOOKUP($B9,'Tara Kinder 10K'!$A:$C,3,FALSE),"")</f>
        <v/>
      </c>
      <c r="S9" s="5">
        <f>IFERROR(VLOOKUP($B9,'Worthington 6'!$A:$C,3,FALSE),"")</f>
        <v>24</v>
      </c>
      <c r="T9" s="5">
        <f>IFERROR(VLOOKUP($B9,'Joy Cann 5'!$A:$C,3,FALSE),"")</f>
        <v>27</v>
      </c>
      <c r="U9" s="5">
        <f>IFERROR(VLOOKUP($B9,'Burton 10k'!$A:$C,3,FALSE),"")</f>
        <v>22</v>
      </c>
      <c r="V9" s="5" t="str">
        <f>IFERROR(VLOOKUP($B9,'Rotherby 8'!$A:$C,3,FALSE),"")</f>
        <v/>
      </c>
      <c r="W9" s="5">
        <f>IFERROR(VLOOKUP($B9,'Lichfield 10k'!$A:$C,3,FALSE),"")</f>
        <v>27</v>
      </c>
      <c r="X9" s="5">
        <f>IFERROR(VLOOKUP($B9,'Adrian Smith'!$A:$C,3,FALSE),"")</f>
        <v>18</v>
      </c>
      <c r="Y9" s="5">
        <f>IFERROR(VLOOKUP($B9,'Tamworth 5'!$A:$C,3,FALSE),"")</f>
        <v>24</v>
      </c>
      <c r="Z9" s="31" t="str">
        <f>IFERROR(VLOOKUP($B9,'Bagworth XC'!$A:$C,3,FALSE),"")</f>
        <v/>
      </c>
      <c r="AA9" s="5" t="str">
        <f>IFERROR(VLOOKUP($B9,'Markfield 10k'!$A:$C,3,FALSE),"")</f>
        <v/>
      </c>
      <c r="AB9" s="5" t="str">
        <f>IFERROR(VLOOKUP($B9,'Shepshed 7'!$A:$C,3,FALSE),"")</f>
        <v/>
      </c>
    </row>
    <row r="10" spans="1:28" x14ac:dyDescent="0.25">
      <c r="A10" s="42">
        <f ca="1">IFERROR(Table2[[#This Row],[Position]],"")</f>
        <v>8</v>
      </c>
      <c r="B10" s="18" t="s">
        <v>5</v>
      </c>
      <c r="C10" s="81">
        <f ca="1">IF(Table2[[#This Row],[Total races]]=0,0,(RANK(E10,$E$3:$E$69)+COUNTIF(E10:$E$59,E10)-1))</f>
        <v>8</v>
      </c>
      <c r="D10" s="5">
        <f>COUNTIF(F10:AB10,"&gt;=0")</f>
        <v>9</v>
      </c>
      <c r="E10" s="5">
        <f t="array" aca="1" ref="E10" ca="1">IF(Table2[[#This Row],[Total races]]&lt;11,SUM(Table2[[#This Row],[Derby 5k]:[Shepshed 7]]),SUM(LARGE(F10:AB10,ROW(INDIRECT("1:10")))))+Table2[[#This Row],[Total races]]*3</f>
        <v>265</v>
      </c>
      <c r="F10" s="5">
        <f>IFERROR(VLOOKUP(B10,'Derby 5K'!$B$4:$K$15,10,FALSE),"")</f>
        <v>29</v>
      </c>
      <c r="G10" s="5" t="str">
        <f>IFERROR(VLOOKUP(B10,'Grace Dieu XC'!$A:$C,3,FALSE),"")</f>
        <v/>
      </c>
      <c r="H10" s="5" t="str">
        <f>IFERROR(VLOOKUP(B10,'Bosworth XC'!$A:$C,3,FALSE),"")</f>
        <v/>
      </c>
      <c r="I10" s="5" t="str">
        <f>IFERROR(VLOOKUP($B10,'Kibworth 6'!$A:$C,3,FALSE),"")</f>
        <v/>
      </c>
      <c r="J10" s="5">
        <f>IFERROR(VLOOKUP($B10,'Ivanhoe 20'!$A:$C,3,FALSE),"")</f>
        <v>26</v>
      </c>
      <c r="K10" s="5" t="str">
        <f>IFERROR(VLOOKUP($B10,'Run In Forest'!$A:$C,3,FALSE),"")</f>
        <v/>
      </c>
      <c r="L10" s="5" t="str">
        <f>IFERROR(VLOOKUP($B10,'Stilton 7'!$A:$C,3,FALSE),"")</f>
        <v/>
      </c>
      <c r="M10" s="5" t="str">
        <f>IFERROR(VLOOKUP($B10,'Uttoxeter HM'!$A:$C,3,FALSE),"")</f>
        <v/>
      </c>
      <c r="N10" s="5" t="str">
        <f>IFERROR(VLOOKUP($B10,'Bosworth HM'!$A:$C,3,FALSE),"")</f>
        <v/>
      </c>
      <c r="O10" s="5">
        <f>IFERROR(VLOOKUP($B10,'West End 8'!$A:$C,3,FALSE),"")</f>
        <v>28</v>
      </c>
      <c r="P10" s="5" t="str">
        <f>IFERROR(VLOOKUP($B10,'Swithland 6'!$A:$C,3,FALSE),"")</f>
        <v/>
      </c>
      <c r="Q10" s="5">
        <f>IFERROR(VLOOKUP($B10,'Washlands Relays'!$A:$C,3,FALSE),"")</f>
        <v>21</v>
      </c>
      <c r="R10" s="5" t="str">
        <f>IFERROR(VLOOKUP($B10,'Tara Kinder 10K'!$A:$C,3,FALSE),"")</f>
        <v/>
      </c>
      <c r="S10" s="5" t="str">
        <f>IFERROR(VLOOKUP($B10,'Worthington 6'!$A:$C,3,FALSE),"")</f>
        <v/>
      </c>
      <c r="T10" s="5">
        <f>IFERROR(VLOOKUP($B10,'Joy Cann 5'!$A:$C,3,FALSE),"")</f>
        <v>28</v>
      </c>
      <c r="U10" s="5">
        <f>IFERROR(VLOOKUP($B10,'Burton 10k'!$A:$C,3,FALSE),"")</f>
        <v>26</v>
      </c>
      <c r="V10" s="5" t="str">
        <f>IFERROR(VLOOKUP($B10,'Rotherby 8'!$A:$C,3,FALSE),"")</f>
        <v/>
      </c>
      <c r="W10" s="5" t="str">
        <f>IFERROR(VLOOKUP($B10,'Lichfield 10k'!$A:$C,3,FALSE),"")</f>
        <v/>
      </c>
      <c r="X10" s="5" t="str">
        <f>IFERROR(VLOOKUP($B10,'Adrian Smith'!$A:$C,3,FALSE),"")</f>
        <v/>
      </c>
      <c r="Y10" s="5">
        <f>IFERROR(VLOOKUP($B10,'Tamworth 5'!$A:$C,3,FALSE),"")</f>
        <v>26</v>
      </c>
      <c r="Z10" s="31">
        <f>IFERROR(VLOOKUP($B10,'Bagworth XC'!$A:$C,3,FALSE),"")</f>
        <v>24</v>
      </c>
      <c r="AA10" s="5">
        <f>IFERROR(VLOOKUP($B10,'Markfield 10k'!$A:$C,3,FALSE),"")</f>
        <v>30</v>
      </c>
      <c r="AB10" s="5" t="str">
        <f>IFERROR(VLOOKUP($B10,'Shepshed 7'!$A:$C,3,FALSE),"")</f>
        <v/>
      </c>
    </row>
    <row r="11" spans="1:28" x14ac:dyDescent="0.25">
      <c r="A11" s="42">
        <f ca="1">IFERROR(Table2[[#This Row],[Position]],"")</f>
        <v>9</v>
      </c>
      <c r="B11" s="18" t="s">
        <v>9</v>
      </c>
      <c r="C11" s="81">
        <f ca="1">IF(Table2[[#This Row],[Total races]]=0,0,(RANK(E11,$E$3:$E$69)+COUNTIF(E11:$E$59,E11)-1))</f>
        <v>9</v>
      </c>
      <c r="D11" s="5">
        <f>COUNTIF(F11:AB11,"&gt;=0")</f>
        <v>9</v>
      </c>
      <c r="E11" s="5">
        <f t="array" aca="1" ref="E11" ca="1">IF(Table2[[#This Row],[Total races]]&lt;11,SUM(Table2[[#This Row],[Derby 5k]:[Shepshed 7]]),SUM(LARGE(F11:AB11,ROW(INDIRECT("1:10")))))+Table2[[#This Row],[Total races]]*3</f>
        <v>225</v>
      </c>
      <c r="F11" s="5" t="str">
        <f>IFERROR(VLOOKUP(B11,'Derby 5K'!$B$4:$K$15,10,FALSE),"")</f>
        <v/>
      </c>
      <c r="G11" s="5" t="str">
        <f>IFERROR(VLOOKUP(B11,'Grace Dieu XC'!$A:$C,3,FALSE),"")</f>
        <v/>
      </c>
      <c r="H11" s="5" t="str">
        <f>IFERROR(VLOOKUP(B11,'Bosworth XC'!$A:$C,3,FALSE),"")</f>
        <v/>
      </c>
      <c r="I11" s="5" t="str">
        <f>IFERROR(VLOOKUP($B11,'Kibworth 6'!$A:$C,3,FALSE),"")</f>
        <v/>
      </c>
      <c r="J11" s="5" t="str">
        <f>IFERROR(VLOOKUP($B11,'Ivanhoe 20'!$A:$C,3,FALSE),"")</f>
        <v/>
      </c>
      <c r="K11" s="5" t="str">
        <f>IFERROR(VLOOKUP($B11,'Run In Forest'!$A:$C,3,FALSE),"")</f>
        <v/>
      </c>
      <c r="L11" s="5">
        <f>IFERROR(VLOOKUP($B11,'Stilton 7'!$A:$C,3,FALSE),"")</f>
        <v>29</v>
      </c>
      <c r="M11" s="5" t="str">
        <f>IFERROR(VLOOKUP($B11,'Uttoxeter HM'!$A:$C,3,FALSE),"")</f>
        <v/>
      </c>
      <c r="N11" s="5" t="str">
        <f>IFERROR(VLOOKUP($B11,'Bosworth HM'!$A:$C,3,FALSE),"")</f>
        <v/>
      </c>
      <c r="O11" s="5">
        <f>IFERROR(VLOOKUP($B11,'West End 8'!$A:$C,3,FALSE),"")</f>
        <v>21</v>
      </c>
      <c r="P11" s="5">
        <f>IFERROR(VLOOKUP($B11,'Swithland 6'!$A:$C,3,FALSE),"")</f>
        <v>27</v>
      </c>
      <c r="Q11" s="5">
        <f>IFERROR(VLOOKUP($B11,'Washlands Relays'!$A:$C,3,FALSE),"")</f>
        <v>9</v>
      </c>
      <c r="R11" s="5" t="str">
        <f>IFERROR(VLOOKUP($B11,'Tara Kinder 10K'!$A:$C,3,FALSE),"")</f>
        <v/>
      </c>
      <c r="S11" s="5" t="str">
        <f>IFERROR(VLOOKUP($B11,'Worthington 6'!$A:$C,3,FALSE),"")</f>
        <v/>
      </c>
      <c r="T11" s="5">
        <f>IFERROR(VLOOKUP($B11,'Joy Cann 5'!$A:$C,3,FALSE),"")</f>
        <v>25</v>
      </c>
      <c r="U11" s="5" t="str">
        <f>IFERROR(VLOOKUP($B11,'Burton 10k'!$A:$C,3,FALSE),"")</f>
        <v/>
      </c>
      <c r="V11" s="5">
        <f>IFERROR(VLOOKUP($B11,'Rotherby 8'!$A:$C,3,FALSE),"")</f>
        <v>27</v>
      </c>
      <c r="W11" s="5" t="str">
        <f>IFERROR(VLOOKUP($B11,'Lichfield 10k'!$A:$C,3,FALSE),"")</f>
        <v/>
      </c>
      <c r="X11" s="5">
        <f>IFERROR(VLOOKUP($B11,'Adrian Smith'!$A:$C,3,FALSE),"")</f>
        <v>22</v>
      </c>
      <c r="Y11" s="5">
        <f>IFERROR(VLOOKUP($B11,'Tamworth 5'!$A:$C,3,FALSE),"")</f>
        <v>20</v>
      </c>
      <c r="Z11" s="31">
        <f>IFERROR(VLOOKUP($B11,'Bagworth XC'!$A:$C,3,FALSE),"")</f>
        <v>18</v>
      </c>
      <c r="AA11" s="5" t="str">
        <f>IFERROR(VLOOKUP($B11,'Markfield 10k'!$A:$C,3,FALSE),"")</f>
        <v/>
      </c>
      <c r="AB11" s="5" t="str">
        <f>IFERROR(VLOOKUP($B11,'Shepshed 7'!$A:$C,3,FALSE),"")</f>
        <v/>
      </c>
    </row>
    <row r="12" spans="1:28" x14ac:dyDescent="0.25">
      <c r="A12" s="42">
        <f ca="1">IFERROR(Table2[[#This Row],[Position]],"")</f>
        <v>10</v>
      </c>
      <c r="B12" s="18" t="s">
        <v>48</v>
      </c>
      <c r="C12" s="81">
        <f ca="1">IF(Table2[[#This Row],[Total races]]=0,0,(RANK(E12,$E$3:$E$69)+COUNTIF(E12:$E$59,E12)-1))</f>
        <v>10</v>
      </c>
      <c r="D12" s="5">
        <f>COUNTIF(F12:AB12,"&gt;=0")</f>
        <v>8</v>
      </c>
      <c r="E12" s="5">
        <f t="array" aca="1" ref="E12" ca="1">IF(Table2[[#This Row],[Total races]]&lt;11,SUM(Table2[[#This Row],[Derby 5k]:[Shepshed 7]]),SUM(LARGE(F12:AB12,ROW(INDIRECT("1:10")))))+Table2[[#This Row],[Total races]]*3</f>
        <v>217</v>
      </c>
      <c r="F12" s="5" t="str">
        <f>IFERROR(VLOOKUP(B12,'Derby 5K'!$B$4:$K$15,10,FALSE),"")</f>
        <v/>
      </c>
      <c r="G12" s="5">
        <f>IFERROR(VLOOKUP(B12,'Grace Dieu XC'!$A:$C,3,FALSE),"")</f>
        <v>28</v>
      </c>
      <c r="H12" s="5">
        <f>IFERROR(VLOOKUP(B12,'Bosworth XC'!$A:$C,3,FALSE),"")</f>
        <v>29</v>
      </c>
      <c r="I12" s="5" t="str">
        <f>IFERROR(VLOOKUP($B12,'Kibworth 6'!$A:$C,3,FALSE),"")</f>
        <v/>
      </c>
      <c r="J12" s="5">
        <f>IFERROR(VLOOKUP($B12,'Ivanhoe 20'!$A:$C,3,FALSE),"")</f>
        <v>24</v>
      </c>
      <c r="K12" s="5" t="str">
        <f>IFERROR(VLOOKUP($B12,'Run In Forest'!$A:$C,3,FALSE),"")</f>
        <v/>
      </c>
      <c r="L12" s="5" t="str">
        <f>IFERROR(VLOOKUP($B12,'Stilton 7'!$A:$C,3,FALSE),"")</f>
        <v/>
      </c>
      <c r="M12" s="5" t="str">
        <f>IFERROR(VLOOKUP($B12,'Uttoxeter HM'!$A:$C,3,FALSE),"")</f>
        <v/>
      </c>
      <c r="N12" s="5">
        <f>IFERROR(VLOOKUP($B12,'Bosworth HM'!$A:$C,3,FALSE),"")</f>
        <v>23</v>
      </c>
      <c r="O12" s="5" t="str">
        <f>IFERROR(VLOOKUP($B12,'West End 8'!$A:$C,3,FALSE),"")</f>
        <v/>
      </c>
      <c r="P12" s="5" t="str">
        <f>IFERROR(VLOOKUP($B12,'Swithland 6'!$A:$C,3,FALSE),"")</f>
        <v/>
      </c>
      <c r="Q12" s="5">
        <f>IFERROR(VLOOKUP($B12,'Washlands Relays'!$A:$C,3,FALSE),"")</f>
        <v>16</v>
      </c>
      <c r="R12" s="5" t="str">
        <f>IFERROR(VLOOKUP($B12,'Tara Kinder 10K'!$A:$C,3,FALSE),"")</f>
        <v/>
      </c>
      <c r="S12" s="5" t="str">
        <f>IFERROR(VLOOKUP($B12,'Worthington 6'!$A:$C,3,FALSE),"")</f>
        <v/>
      </c>
      <c r="T12" s="5" t="str">
        <f>IFERROR(VLOOKUP($B12,'Joy Cann 5'!$A:$C,3,FALSE),"")</f>
        <v/>
      </c>
      <c r="U12" s="5" t="str">
        <f>IFERROR(VLOOKUP($B12,'Burton 10k'!$A:$C,3,FALSE),"")</f>
        <v/>
      </c>
      <c r="V12" s="5" t="str">
        <f>IFERROR(VLOOKUP($B12,'Rotherby 8'!$A:$C,3,FALSE),"")</f>
        <v/>
      </c>
      <c r="W12" s="5" t="str">
        <f>IFERROR(VLOOKUP($B12,'Lichfield 10k'!$A:$C,3,FALSE),"")</f>
        <v/>
      </c>
      <c r="X12" s="5">
        <f>IFERROR(VLOOKUP($B12,'Adrian Smith'!$A:$C,3,FALSE),"")</f>
        <v>26</v>
      </c>
      <c r="Y12" s="5">
        <f>IFERROR(VLOOKUP($B12,'Tamworth 5'!$A:$C,3,FALSE),"")</f>
        <v>21</v>
      </c>
      <c r="Z12" s="31">
        <f>IFERROR(VLOOKUP($B12,'Bagworth XC'!$A:$C,3,FALSE),"")</f>
        <v>26</v>
      </c>
      <c r="AA12" s="5" t="str">
        <f>IFERROR(VLOOKUP($B12,'Markfield 10k'!$A:$C,3,FALSE),"")</f>
        <v/>
      </c>
      <c r="AB12" s="5" t="str">
        <f>IFERROR(VLOOKUP($B12,'Shepshed 7'!$A:$C,3,FALSE),"")</f>
        <v/>
      </c>
    </row>
    <row r="13" spans="1:28" x14ac:dyDescent="0.25">
      <c r="A13" s="42">
        <f ca="1">IFERROR(Table2[[#This Row],[Position]],"")</f>
        <v>11</v>
      </c>
      <c r="B13" s="18" t="s">
        <v>54</v>
      </c>
      <c r="C13" s="81">
        <f ca="1">IF(Table2[[#This Row],[Total races]]=0,0,(RANK(E13,$E$3:$E$69)+COUNTIF(E13:$E$59,E13)-1))</f>
        <v>11</v>
      </c>
      <c r="D13" s="5">
        <f>COUNTIF(F13:AB13,"&gt;=0")</f>
        <v>10</v>
      </c>
      <c r="E13" s="5">
        <f t="array" aca="1" ref="E13" ca="1">IF(Table2[[#This Row],[Total races]]&lt;11,SUM(Table2[[#This Row],[Derby 5k]:[Shepshed 7]]),SUM(LARGE(F13:AB13,ROW(INDIRECT("1:10")))))+Table2[[#This Row],[Total races]]*3</f>
        <v>207</v>
      </c>
      <c r="F13" s="5">
        <f>IFERROR(VLOOKUP(B13,'Derby 5K'!$B$4:$K$15,10,FALSE),"")</f>
        <v>25</v>
      </c>
      <c r="G13" s="5" t="str">
        <f>IFERROR(VLOOKUP(B13,'Grace Dieu XC'!$A:$C,3,FALSE),"")</f>
        <v/>
      </c>
      <c r="H13" s="5" t="str">
        <f>IFERROR(VLOOKUP(B13,'Bosworth XC'!$A:$C,3,FALSE),"")</f>
        <v/>
      </c>
      <c r="I13" s="5" t="str">
        <f>IFERROR(VLOOKUP($B13,'Kibworth 6'!$A:$C,3,FALSE),"")</f>
        <v/>
      </c>
      <c r="J13" s="5">
        <f>IFERROR(VLOOKUP($B13,'Ivanhoe 20'!$A:$C,3,FALSE),"")</f>
        <v>20</v>
      </c>
      <c r="K13" s="5" t="str">
        <f>IFERROR(VLOOKUP($B13,'Run In Forest'!$A:$C,3,FALSE),"")</f>
        <v/>
      </c>
      <c r="L13" s="5">
        <f>IFERROR(VLOOKUP($B13,'Stilton 7'!$A:$C,3,FALSE),"")</f>
        <v>26</v>
      </c>
      <c r="M13" s="5">
        <f>IFERROR(VLOOKUP($B13,'Uttoxeter HM'!$A:$C,3,FALSE),"")</f>
        <v>28</v>
      </c>
      <c r="N13" s="5" t="str">
        <f>IFERROR(VLOOKUP($B13,'Bosworth HM'!$A:$C,3,FALSE),"")</f>
        <v/>
      </c>
      <c r="O13" s="5">
        <f>IFERROR(VLOOKUP($B13,'West End 8'!$A:$C,3,FALSE),"")</f>
        <v>13</v>
      </c>
      <c r="P13" s="5">
        <f>IFERROR(VLOOKUP($B13,'Swithland 6'!$A:$C,3,FALSE),"")</f>
        <v>23</v>
      </c>
      <c r="Q13" s="5">
        <f>IFERROR(VLOOKUP($B13,'Washlands Relays'!$A:$C,3,FALSE),"")</f>
        <v>0</v>
      </c>
      <c r="R13" s="5" t="str">
        <f>IFERROR(VLOOKUP($B13,'Tara Kinder 10K'!$A:$C,3,FALSE),"")</f>
        <v/>
      </c>
      <c r="S13" s="5">
        <f>IFERROR(VLOOKUP($B13,'Worthington 6'!$A:$C,3,FALSE),"")</f>
        <v>12</v>
      </c>
      <c r="T13" s="5" t="str">
        <f>IFERROR(VLOOKUP($B13,'Joy Cann 5'!$A:$C,3,FALSE),"")</f>
        <v/>
      </c>
      <c r="U13" s="5" t="str">
        <f>IFERROR(VLOOKUP($B13,'Burton 10k'!$A:$C,3,FALSE),"")</f>
        <v/>
      </c>
      <c r="V13" s="5" t="str">
        <f>IFERROR(VLOOKUP($B13,'Rotherby 8'!$A:$C,3,FALSE),"")</f>
        <v/>
      </c>
      <c r="W13" s="5" t="str">
        <f>IFERROR(VLOOKUP($B13,'Lichfield 10k'!$A:$C,3,FALSE),"")</f>
        <v/>
      </c>
      <c r="X13" s="5">
        <f>IFERROR(VLOOKUP($B13,'Adrian Smith'!$A:$C,3,FALSE),"")</f>
        <v>15</v>
      </c>
      <c r="Y13" s="5" t="str">
        <f>IFERROR(VLOOKUP($B13,'Tamworth 5'!$A:$C,3,FALSE),"")</f>
        <v/>
      </c>
      <c r="Z13" s="31">
        <f>IFERROR(VLOOKUP($B13,'Bagworth XC'!$A:$C,3,FALSE),"")</f>
        <v>15</v>
      </c>
      <c r="AA13" s="5" t="str">
        <f>IFERROR(VLOOKUP($B13,'Markfield 10k'!$A:$C,3,FALSE),"")</f>
        <v/>
      </c>
      <c r="AB13" s="5" t="str">
        <f>IFERROR(VLOOKUP($B13,'Shepshed 7'!$A:$C,3,FALSE),"")</f>
        <v/>
      </c>
    </row>
    <row r="14" spans="1:28" x14ac:dyDescent="0.25">
      <c r="A14" s="42">
        <f ca="1">IFERROR(Table2[[#This Row],[Position]],"")</f>
        <v>12</v>
      </c>
      <c r="B14" s="18" t="s">
        <v>282</v>
      </c>
      <c r="C14" s="81">
        <f ca="1">IF(Table2[[#This Row],[Total races]]=0,0,(RANK(E14,$E$3:$E$69)+COUNTIF(E14:$E$59,E14)-1))</f>
        <v>12</v>
      </c>
      <c r="D14" s="5">
        <f>COUNTIF(F14:AB14,"&gt;=0")</f>
        <v>7</v>
      </c>
      <c r="E14" s="5">
        <f t="array" aca="1" ref="E14" ca="1">IF(Table2[[#This Row],[Total races]]&lt;11,SUM(Table2[[#This Row],[Derby 5k]:[Shepshed 7]]),SUM(LARGE(F14:AB14,ROW(INDIRECT("1:10")))))+Table2[[#This Row],[Total races]]*3</f>
        <v>204</v>
      </c>
      <c r="F14" s="5" t="str">
        <f>IFERROR(VLOOKUP(B14,'Derby 5K'!$B$4:$K$15,10,FALSE),"")</f>
        <v/>
      </c>
      <c r="G14" s="5">
        <f>IFERROR(VLOOKUP(B14,'Grace Dieu XC'!$A:$C,3,FALSE),"")</f>
        <v>27</v>
      </c>
      <c r="H14" s="5" t="str">
        <f>IFERROR(VLOOKUP(B14,'Bosworth XC'!$A:$C,3,FALSE),"")</f>
        <v/>
      </c>
      <c r="I14" s="5" t="str">
        <f>IFERROR(VLOOKUP($B14,'Kibworth 6'!$A:$C,3,FALSE),"")</f>
        <v/>
      </c>
      <c r="J14" s="5" t="str">
        <f>IFERROR(VLOOKUP($B14,'Ivanhoe 20'!$A:$C,3,FALSE),"")</f>
        <v/>
      </c>
      <c r="K14" s="5" t="str">
        <f>IFERROR(VLOOKUP($B14,'Run In Forest'!$A:$C,3,FALSE),"")</f>
        <v/>
      </c>
      <c r="L14" s="5" t="str">
        <f>IFERROR(VLOOKUP($B14,'Stilton 7'!$A:$C,3,FALSE),"")</f>
        <v/>
      </c>
      <c r="M14" s="5" t="str">
        <f>IFERROR(VLOOKUP($B14,'Uttoxeter HM'!$A:$C,3,FALSE),"")</f>
        <v/>
      </c>
      <c r="N14" s="5">
        <f>IFERROR(VLOOKUP($B14,'Bosworth HM'!$A:$C,3,FALSE),"")</f>
        <v>26</v>
      </c>
      <c r="O14" s="5" t="str">
        <f>IFERROR(VLOOKUP($B14,'West End 8'!$A:$C,3,FALSE),"")</f>
        <v/>
      </c>
      <c r="P14" s="5" t="str">
        <f>IFERROR(VLOOKUP($B14,'Swithland 6'!$A:$C,3,FALSE),"")</f>
        <v/>
      </c>
      <c r="Q14" s="5">
        <f>IFERROR(VLOOKUP($B14,'Washlands Relays'!$A:$C,3,FALSE),"")</f>
        <v>20</v>
      </c>
      <c r="R14" s="5">
        <f>IFERROR(VLOOKUP($B14,'Tara Kinder 10K'!$A:$C,3,FALSE),"")</f>
        <v>27</v>
      </c>
      <c r="S14" s="5">
        <f>IFERROR(VLOOKUP($B14,'Worthington 6'!$A:$C,3,FALSE),"")</f>
        <v>26</v>
      </c>
      <c r="T14" s="5" t="str">
        <f>IFERROR(VLOOKUP($B14,'Joy Cann 5'!$A:$C,3,FALSE),"")</f>
        <v/>
      </c>
      <c r="U14" s="5" t="str">
        <f>IFERROR(VLOOKUP($B14,'Burton 10k'!$A:$C,3,FALSE),"")</f>
        <v/>
      </c>
      <c r="V14" s="5" t="str">
        <f>IFERROR(VLOOKUP($B14,'Rotherby 8'!$A:$C,3,FALSE),"")</f>
        <v/>
      </c>
      <c r="W14" s="5" t="str">
        <f>IFERROR(VLOOKUP($B14,'Lichfield 10k'!$A:$C,3,FALSE),"")</f>
        <v/>
      </c>
      <c r="X14" s="5">
        <f>IFERROR(VLOOKUP($B14,'Adrian Smith'!$A:$C,3,FALSE),"")</f>
        <v>29</v>
      </c>
      <c r="Y14" s="5">
        <f>IFERROR(VLOOKUP($B14,'Tamworth 5'!$A:$C,3,FALSE),"")</f>
        <v>28</v>
      </c>
      <c r="Z14" s="31" t="str">
        <f>IFERROR(VLOOKUP($B14,'Bagworth XC'!$A:$C,3,FALSE),"")</f>
        <v/>
      </c>
      <c r="AA14" s="5" t="str">
        <f>IFERROR(VLOOKUP($B14,'Markfield 10k'!$A:$C,3,FALSE),"")</f>
        <v/>
      </c>
      <c r="AB14" s="5" t="str">
        <f>IFERROR(VLOOKUP($B14,'Shepshed 7'!$A:$C,3,FALSE),"")</f>
        <v/>
      </c>
    </row>
    <row r="15" spans="1:28" x14ac:dyDescent="0.25">
      <c r="A15" s="42">
        <f ca="1">IFERROR(Table2[[#This Row],[Position]],"")</f>
        <v>13</v>
      </c>
      <c r="B15" s="18" t="s">
        <v>30</v>
      </c>
      <c r="C15" s="81">
        <f ca="1">IF(Table2[[#This Row],[Total races]]=0,0,(RANK(E15,$E$3:$E$69)+COUNTIF(E15:$E$59,E15)-1))</f>
        <v>13</v>
      </c>
      <c r="D15" s="5">
        <f>COUNTIF(F15:AB15,"&gt;=0")</f>
        <v>8</v>
      </c>
      <c r="E15" s="5">
        <f t="array" aca="1" ref="E15" ca="1">IF(Table2[[#This Row],[Total races]]&lt;11,SUM(Table2[[#This Row],[Derby 5k]:[Shepshed 7]]),SUM(LARGE(F15:AB15,ROW(INDIRECT("1:10")))))+Table2[[#This Row],[Total races]]*3</f>
        <v>201</v>
      </c>
      <c r="F15" s="5" t="str">
        <f>IFERROR(VLOOKUP(B15,'Derby 5K'!$B$4:$K$15,10,FALSE),"")</f>
        <v/>
      </c>
      <c r="G15" s="5">
        <f>IFERROR(VLOOKUP(B15,'Grace Dieu XC'!$A:$C,3,FALSE),"")</f>
        <v>22</v>
      </c>
      <c r="H15" s="5">
        <f>IFERROR(VLOOKUP(B15,'Bosworth XC'!$A:$C,3,FALSE),"")</f>
        <v>26</v>
      </c>
      <c r="I15" s="5" t="str">
        <f>IFERROR(VLOOKUP($B15,'Kibworth 6'!$A:$C,3,FALSE),"")</f>
        <v/>
      </c>
      <c r="J15" s="5" t="str">
        <f>IFERROR(VLOOKUP($B15,'Ivanhoe 20'!$A:$C,3,FALSE),"")</f>
        <v/>
      </c>
      <c r="K15" s="5">
        <f>IFERROR(VLOOKUP($B15,'Run In Forest'!$A:$C,3,FALSE),"")</f>
        <v>22</v>
      </c>
      <c r="L15" s="5" t="str">
        <f>IFERROR(VLOOKUP($B15,'Stilton 7'!$A:$C,3,FALSE),"")</f>
        <v/>
      </c>
      <c r="M15" s="5" t="str">
        <f>IFERROR(VLOOKUP($B15,'Uttoxeter HM'!$A:$C,3,FALSE),"")</f>
        <v/>
      </c>
      <c r="N15" s="5" t="str">
        <f>IFERROR(VLOOKUP($B15,'Bosworth HM'!$A:$C,3,FALSE),"")</f>
        <v/>
      </c>
      <c r="O15" s="5" t="str">
        <f>IFERROR(VLOOKUP($B15,'West End 8'!$A:$C,3,FALSE),"")</f>
        <v/>
      </c>
      <c r="P15" s="5">
        <f>IFERROR(VLOOKUP($B15,'Swithland 6'!$A:$C,3,FALSE),"")</f>
        <v>28</v>
      </c>
      <c r="Q15" s="5" t="str">
        <f>IFERROR(VLOOKUP($B15,'Washlands Relays'!$A:$C,3,FALSE),"")</f>
        <v/>
      </c>
      <c r="R15" s="5" t="str">
        <f>IFERROR(VLOOKUP($B15,'Tara Kinder 10K'!$A:$C,3,FALSE),"")</f>
        <v/>
      </c>
      <c r="S15" s="5">
        <f>IFERROR(VLOOKUP($B15,'Worthington 6'!$A:$C,3,FALSE),"")</f>
        <v>18</v>
      </c>
      <c r="T15" s="5" t="str">
        <f>IFERROR(VLOOKUP($B15,'Joy Cann 5'!$A:$C,3,FALSE),"")</f>
        <v/>
      </c>
      <c r="U15" s="5" t="str">
        <f>IFERROR(VLOOKUP($B15,'Burton 10k'!$A:$C,3,FALSE),"")</f>
        <v/>
      </c>
      <c r="V15" s="5" t="str">
        <f>IFERROR(VLOOKUP($B15,'Rotherby 8'!$A:$C,3,FALSE),"")</f>
        <v/>
      </c>
      <c r="W15" s="5" t="str">
        <f>IFERROR(VLOOKUP($B15,'Lichfield 10k'!$A:$C,3,FALSE),"")</f>
        <v/>
      </c>
      <c r="X15" s="5" t="str">
        <f>IFERROR(VLOOKUP($B15,'Adrian Smith'!$A:$C,3,FALSE),"")</f>
        <v/>
      </c>
      <c r="Y15" s="5">
        <f>IFERROR(VLOOKUP($B15,'Tamworth 5'!$A:$C,3,FALSE),"")</f>
        <v>17</v>
      </c>
      <c r="Z15" s="31">
        <f>IFERROR(VLOOKUP($B15,'Bagworth XC'!$A:$C,3,FALSE),"")</f>
        <v>19</v>
      </c>
      <c r="AA15" s="5" t="str">
        <f>IFERROR(VLOOKUP($B15,'Markfield 10k'!$A:$C,3,FALSE),"")</f>
        <v/>
      </c>
      <c r="AB15" s="5">
        <f>IFERROR(VLOOKUP($B15,'Shepshed 7'!$A:$C,3,FALSE),"")</f>
        <v>25</v>
      </c>
    </row>
    <row r="16" spans="1:28" x14ac:dyDescent="0.25">
      <c r="A16" s="42">
        <f ca="1">IFERROR(Table2[[#This Row],[Position]],"")</f>
        <v>14</v>
      </c>
      <c r="B16" s="18" t="s">
        <v>222</v>
      </c>
      <c r="C16" s="81">
        <f ca="1">IF(Table2[[#This Row],[Total races]]=0,0,(RANK(E16,$E$3:$E$69)+COUNTIF(E16:$E$59,E16)-1))</f>
        <v>14</v>
      </c>
      <c r="D16" s="5">
        <f>COUNTIF(F16:AB16,"&gt;=0")</f>
        <v>9</v>
      </c>
      <c r="E16" s="5">
        <f t="array" aca="1" ref="E16" ca="1">IF(Table2[[#This Row],[Total races]]&lt;11,SUM(Table2[[#This Row],[Derby 5k]:[Shepshed 7]]),SUM(LARGE(F16:AB16,ROW(INDIRECT("1:10")))))+Table2[[#This Row],[Total races]]*3</f>
        <v>188</v>
      </c>
      <c r="F16" s="5" t="str">
        <f>IFERROR(VLOOKUP(B16,'Derby 5K'!$B$4:$K$15,10,FALSE),"")</f>
        <v/>
      </c>
      <c r="G16" s="5" t="str">
        <f>IFERROR(VLOOKUP(B16,'Grace Dieu XC'!$A:$C,3,FALSE),"")</f>
        <v/>
      </c>
      <c r="H16" s="5" t="str">
        <f>IFERROR(VLOOKUP(B16,'Bosworth XC'!$A:$C,3,FALSE),"")</f>
        <v/>
      </c>
      <c r="I16" s="5">
        <f>IFERROR(VLOOKUP($B16,'Kibworth 6'!$A:$C,3,FALSE),"")</f>
        <v>27</v>
      </c>
      <c r="J16" s="5" t="str">
        <f>IFERROR(VLOOKUP($B16,'Ivanhoe 20'!$A:$C,3,FALSE),"")</f>
        <v/>
      </c>
      <c r="K16" s="5" t="str">
        <f>IFERROR(VLOOKUP($B16,'Run In Forest'!$A:$C,3,FALSE),"")</f>
        <v/>
      </c>
      <c r="L16" s="5">
        <f>IFERROR(VLOOKUP($B16,'Stilton 7'!$A:$C,3,FALSE),"")</f>
        <v>25</v>
      </c>
      <c r="M16" s="5" t="str">
        <f>IFERROR(VLOOKUP($B16,'Uttoxeter HM'!$A:$C,3,FALSE),"")</f>
        <v/>
      </c>
      <c r="N16" s="5" t="str">
        <f>IFERROR(VLOOKUP($B16,'Bosworth HM'!$A:$C,3,FALSE),"")</f>
        <v/>
      </c>
      <c r="O16" s="5">
        <f>IFERROR(VLOOKUP($B16,'West End 8'!$A:$C,3,FALSE),"")</f>
        <v>16</v>
      </c>
      <c r="P16" s="5">
        <f>IFERROR(VLOOKUP($B16,'Swithland 6'!$A:$C,3,FALSE),"")</f>
        <v>24</v>
      </c>
      <c r="Q16" s="5">
        <f>IFERROR(VLOOKUP($B16,'Washlands Relays'!$A:$C,3,FALSE),"")</f>
        <v>0</v>
      </c>
      <c r="R16" s="5" t="str">
        <f>IFERROR(VLOOKUP($B16,'Tara Kinder 10K'!$A:$C,3,FALSE),"")</f>
        <v/>
      </c>
      <c r="S16" s="5" t="str">
        <f>IFERROR(VLOOKUP($B16,'Worthington 6'!$A:$C,3,FALSE),"")</f>
        <v/>
      </c>
      <c r="T16" s="5" t="str">
        <f>IFERROR(VLOOKUP($B16,'Joy Cann 5'!$A:$C,3,FALSE),"")</f>
        <v/>
      </c>
      <c r="U16" s="5" t="str">
        <f>IFERROR(VLOOKUP($B16,'Burton 10k'!$A:$C,3,FALSE),"")</f>
        <v/>
      </c>
      <c r="V16" s="5" t="str">
        <f>IFERROR(VLOOKUP($B16,'Rotherby 8'!$A:$C,3,FALSE),"")</f>
        <v/>
      </c>
      <c r="W16" s="5" t="str">
        <f>IFERROR(VLOOKUP($B16,'Lichfield 10k'!$A:$C,3,FALSE),"")</f>
        <v/>
      </c>
      <c r="X16" s="5">
        <f>IFERROR(VLOOKUP($B16,'Adrian Smith'!$A:$C,3,FALSE),"")</f>
        <v>16</v>
      </c>
      <c r="Y16" s="5">
        <f>IFERROR(VLOOKUP($B16,'Tamworth 5'!$A:$C,3,FALSE),"")</f>
        <v>15</v>
      </c>
      <c r="Z16" s="31">
        <f>IFERROR(VLOOKUP($B16,'Bagworth XC'!$A:$C,3,FALSE),"")</f>
        <v>14</v>
      </c>
      <c r="AA16" s="5" t="str">
        <f>IFERROR(VLOOKUP($B16,'Markfield 10k'!$A:$C,3,FALSE),"")</f>
        <v/>
      </c>
      <c r="AB16" s="5">
        <f>IFERROR(VLOOKUP($B16,'Shepshed 7'!$A:$C,3,FALSE),"")</f>
        <v>24</v>
      </c>
    </row>
    <row r="17" spans="1:28" x14ac:dyDescent="0.25">
      <c r="A17" s="42">
        <f ca="1">IFERROR(Table2[[#This Row],[Position]],"")</f>
        <v>15</v>
      </c>
      <c r="B17" s="18" t="s">
        <v>227</v>
      </c>
      <c r="C17" s="81">
        <f ca="1">IF(Table2[[#This Row],[Total races]]=0,0,(RANK(E17,$E$3:$E$69)+COUNTIF(E17:$E$60,E17)-1))</f>
        <v>15</v>
      </c>
      <c r="D17" s="5">
        <f>COUNTIF(F17:AB17,"&gt;=0")</f>
        <v>6</v>
      </c>
      <c r="E17" s="5">
        <f t="array" aca="1" ref="E17" ca="1">IF(Table2[[#This Row],[Total races]]&lt;11,SUM(Table2[[#This Row],[Derby 5k]:[Shepshed 7]]),SUM(LARGE(F17:AB17,ROW(INDIRECT("1:10")))))+Table2[[#This Row],[Total races]]*3</f>
        <v>182</v>
      </c>
      <c r="F17" s="5" t="str">
        <f>IFERROR(VLOOKUP(B17,'Derby 5K'!$B$4:$K$15,10,FALSE),"")</f>
        <v/>
      </c>
      <c r="G17" s="5" t="str">
        <f>IFERROR(VLOOKUP(B17,'Grace Dieu XC'!$A:$C,3,FALSE),"")</f>
        <v/>
      </c>
      <c r="H17" s="5" t="str">
        <f>IFERROR(VLOOKUP(B17,'Bosworth XC'!$A:$C,3,FALSE),"")</f>
        <v/>
      </c>
      <c r="I17" s="5" t="str">
        <f>IFERROR(VLOOKUP($B17,'Kibworth 6'!$A:$C,3,FALSE),"")</f>
        <v/>
      </c>
      <c r="J17" s="5" t="str">
        <f>IFERROR(VLOOKUP($B17,'Ivanhoe 20'!$A:$C,3,FALSE),"")</f>
        <v/>
      </c>
      <c r="K17" s="5">
        <f>IFERROR(VLOOKUP($B17,'Run In Forest'!$A:$C,3,FALSE),"")</f>
        <v>28</v>
      </c>
      <c r="L17" s="5" t="str">
        <f>IFERROR(VLOOKUP($B17,'Stilton 7'!$A:$C,3,FALSE),"")</f>
        <v/>
      </c>
      <c r="M17" s="5" t="str">
        <f>IFERROR(VLOOKUP($B17,'Uttoxeter HM'!$A:$C,3,FALSE),"")</f>
        <v/>
      </c>
      <c r="N17" s="5" t="str">
        <f>IFERROR(VLOOKUP($B17,'Bosworth HM'!$A:$C,3,FALSE),"")</f>
        <v/>
      </c>
      <c r="O17" s="5" t="str">
        <f>IFERROR(VLOOKUP($B17,'West End 8'!$A:$C,3,FALSE),"")</f>
        <v/>
      </c>
      <c r="P17" s="5" t="str">
        <f>IFERROR(VLOOKUP($B17,'Swithland 6'!$A:$C,3,FALSE),"")</f>
        <v/>
      </c>
      <c r="Q17" s="5" t="str">
        <f>IFERROR(VLOOKUP($B17,'Washlands Relays'!$A:$C,3,FALSE),"")</f>
        <v/>
      </c>
      <c r="R17" s="5" t="str">
        <f>IFERROR(VLOOKUP($B17,'Tara Kinder 10K'!$A:$C,3,FALSE),"")</f>
        <v/>
      </c>
      <c r="S17" s="5" t="str">
        <f>IFERROR(VLOOKUP($B17,'Worthington 6'!$A:$C,3,FALSE),"")</f>
        <v/>
      </c>
      <c r="T17" s="5" t="str">
        <f>IFERROR(VLOOKUP($B17,'Joy Cann 5'!$A:$C,3,FALSE),"")</f>
        <v/>
      </c>
      <c r="U17" s="5">
        <f>IFERROR(VLOOKUP($B17,'Burton 10k'!$A:$C,3,FALSE),"")</f>
        <v>28</v>
      </c>
      <c r="V17" s="5" t="str">
        <f>IFERROR(VLOOKUP($B17,'Rotherby 8'!$A:$C,3,FALSE),"")</f>
        <v/>
      </c>
      <c r="W17" s="5">
        <f>IFERROR(VLOOKUP($B17,'Lichfield 10k'!$A:$C,3,FALSE),"")</f>
        <v>29</v>
      </c>
      <c r="X17" s="5">
        <f>IFERROR(VLOOKUP($B17,'Adrian Smith'!$A:$C,3,FALSE),"")</f>
        <v>24</v>
      </c>
      <c r="Y17" s="5">
        <f>IFERROR(VLOOKUP($B17,'Tamworth 5'!$A:$C,3,FALSE),"")</f>
        <v>27</v>
      </c>
      <c r="Z17" s="31">
        <f>IFERROR(VLOOKUP($B17,'Bagworth XC'!$A:$C,3,FALSE),"")</f>
        <v>28</v>
      </c>
      <c r="AA17" s="5" t="str">
        <f>IFERROR(VLOOKUP($B17,'Markfield 10k'!$A:$C,3,FALSE),"")</f>
        <v/>
      </c>
      <c r="AB17" s="5" t="str">
        <f>IFERROR(VLOOKUP($B17,'Shepshed 7'!$A:$C,3,FALSE),"")</f>
        <v/>
      </c>
    </row>
    <row r="18" spans="1:28" x14ac:dyDescent="0.25">
      <c r="A18" s="42">
        <f ca="1">IFERROR(Table2[[#This Row],[Position]],"")</f>
        <v>16</v>
      </c>
      <c r="B18" s="18" t="s">
        <v>3</v>
      </c>
      <c r="C18" s="81">
        <f ca="1">IF(Table2[[#This Row],[Total races]]=0,0,(RANK(E18,$E$3:$E$69)+COUNTIF(E18:$E$59,E18)-1))</f>
        <v>16</v>
      </c>
      <c r="D18" s="5">
        <f>COUNTIF(F18:AB18,"&gt;=0")</f>
        <v>6</v>
      </c>
      <c r="E18" s="5">
        <f t="array" aca="1" ref="E18" ca="1">IF(Table2[[#This Row],[Total races]]&lt;11,SUM(Table2[[#This Row],[Derby 5k]:[Shepshed 7]]),SUM(LARGE(F18:AB18,ROW(INDIRECT("1:10")))))+Table2[[#This Row],[Total races]]*3</f>
        <v>179</v>
      </c>
      <c r="F18" s="5" t="str">
        <f>IFERROR(VLOOKUP(B18,'Derby 5K'!$B$4:$K$15,10,FALSE),"")</f>
        <v/>
      </c>
      <c r="G18" s="5">
        <f>IFERROR(VLOOKUP(B18,'Grace Dieu XC'!$A:$C,3,FALSE),"")</f>
        <v>29</v>
      </c>
      <c r="H18" s="5" t="str">
        <f>IFERROR(VLOOKUP(B18,'Bosworth XC'!$A:$C,3,FALSE),"")</f>
        <v/>
      </c>
      <c r="I18" s="5" t="str">
        <f>IFERROR(VLOOKUP($B18,'Kibworth 6'!$A:$C,3,FALSE),"")</f>
        <v/>
      </c>
      <c r="J18" s="5" t="str">
        <f>IFERROR(VLOOKUP($B18,'Ivanhoe 20'!$A:$C,3,FALSE),"")</f>
        <v/>
      </c>
      <c r="K18" s="5" t="str">
        <f>IFERROR(VLOOKUP($B18,'Run In Forest'!$A:$C,3,FALSE),"")</f>
        <v/>
      </c>
      <c r="L18" s="5" t="str">
        <f>IFERROR(VLOOKUP($B18,'Stilton 7'!$A:$C,3,FALSE),"")</f>
        <v/>
      </c>
      <c r="M18" s="5" t="str">
        <f>IFERROR(VLOOKUP($B18,'Uttoxeter HM'!$A:$C,3,FALSE),"")</f>
        <v/>
      </c>
      <c r="N18" s="5">
        <f>IFERROR(VLOOKUP($B18,'Bosworth HM'!$A:$C,3,FALSE),"")</f>
        <v>29</v>
      </c>
      <c r="O18" s="5" t="str">
        <f>IFERROR(VLOOKUP($B18,'West End 8'!$A:$C,3,FALSE),"")</f>
        <v/>
      </c>
      <c r="P18" s="5" t="str">
        <f>IFERROR(VLOOKUP($B18,'Swithland 6'!$A:$C,3,FALSE),"")</f>
        <v/>
      </c>
      <c r="Q18" s="5">
        <f>IFERROR(VLOOKUP($B18,'Washlands Relays'!$A:$C,3,FALSE),"")</f>
        <v>22</v>
      </c>
      <c r="R18" s="5">
        <f>IFERROR(VLOOKUP($B18,'Tara Kinder 10K'!$A:$C,3,FALSE),"")</f>
        <v>26</v>
      </c>
      <c r="S18" s="5">
        <f>IFERROR(VLOOKUP($B18,'Worthington 6'!$A:$C,3,FALSE),"")</f>
        <v>28</v>
      </c>
      <c r="T18" s="5" t="str">
        <f>IFERROR(VLOOKUP($B18,'Joy Cann 5'!$A:$C,3,FALSE),"")</f>
        <v/>
      </c>
      <c r="U18" s="5" t="str">
        <f>IFERROR(VLOOKUP($B18,'Burton 10k'!$A:$C,3,FALSE),"")</f>
        <v/>
      </c>
      <c r="V18" s="5" t="str">
        <f>IFERROR(VLOOKUP($B18,'Rotherby 8'!$A:$C,3,FALSE),"")</f>
        <v/>
      </c>
      <c r="W18" s="5" t="str">
        <f>IFERROR(VLOOKUP($B18,'Lichfield 10k'!$A:$C,3,FALSE),"")</f>
        <v/>
      </c>
      <c r="X18" s="5" t="str">
        <f>IFERROR(VLOOKUP($B18,'Adrian Smith'!$A:$C,3,FALSE),"")</f>
        <v/>
      </c>
      <c r="Y18" s="5" t="str">
        <f>IFERROR(VLOOKUP($B18,'Tamworth 5'!$A:$C,3,FALSE),"")</f>
        <v/>
      </c>
      <c r="Z18" s="31">
        <f>IFERROR(VLOOKUP($B18,'Bagworth XC'!$A:$C,3,FALSE),"")</f>
        <v>27</v>
      </c>
      <c r="AA18" s="5" t="str">
        <f>IFERROR(VLOOKUP($B18,'Markfield 10k'!$A:$C,3,FALSE),"")</f>
        <v/>
      </c>
      <c r="AB18" s="5" t="str">
        <f>IFERROR(VLOOKUP($B18,'Shepshed 7'!$A:$C,3,FALSE),"")</f>
        <v/>
      </c>
    </row>
    <row r="19" spans="1:28" x14ac:dyDescent="0.25">
      <c r="A19" s="42">
        <f ca="1">IFERROR(Table2[[#This Row],[Position]],"")</f>
        <v>17</v>
      </c>
      <c r="B19" s="18" t="s">
        <v>244</v>
      </c>
      <c r="C19" s="81">
        <f ca="1">IF(Table2[[#This Row],[Total races]]=0,0,(RANK(E19,$E$3:$E$69)+COUNTIF(E19:$E$61,E19)-1))</f>
        <v>17</v>
      </c>
      <c r="D19" s="5">
        <f>COUNTIF(F19:AB19,"&gt;=0")</f>
        <v>9</v>
      </c>
      <c r="E19" s="5">
        <f t="array" aca="1" ref="E19" ca="1">IF(Table2[[#This Row],[Total races]]&lt;11,SUM(Table2[[#This Row],[Derby 5k]:[Shepshed 7]]),SUM(LARGE(F19:AB19,ROW(INDIRECT("1:10")))))+Table2[[#This Row],[Total races]]*3</f>
        <v>164</v>
      </c>
      <c r="F19" s="5" t="str">
        <f>IFERROR(VLOOKUP(B19,'Derby 5K'!$B$4:$K$15,10,FALSE),"")</f>
        <v/>
      </c>
      <c r="G19" s="5" t="str">
        <f>IFERROR(VLOOKUP(B19,'Grace Dieu XC'!$A:$C,3,FALSE),"")</f>
        <v/>
      </c>
      <c r="H19" s="5" t="str">
        <f>IFERROR(VLOOKUP(B19,'Bosworth XC'!$A:$C,3,FALSE),"")</f>
        <v/>
      </c>
      <c r="I19" s="5" t="str">
        <f>IFERROR(VLOOKUP($B19,'Kibworth 6'!$A:$C,3,FALSE),"")</f>
        <v/>
      </c>
      <c r="J19" s="5" t="str">
        <f>IFERROR(VLOOKUP($B19,'Ivanhoe 20'!$A:$C,3,FALSE),"")</f>
        <v/>
      </c>
      <c r="K19" s="5">
        <f>IFERROR(VLOOKUP($B19,'Run In Forest'!$A:$C,3,FALSE),"")</f>
        <v>20</v>
      </c>
      <c r="L19" s="5" t="str">
        <f>IFERROR(VLOOKUP($B19,'Stilton 7'!$A:$C,3,FALSE),"")</f>
        <v/>
      </c>
      <c r="M19" s="5" t="str">
        <f>IFERROR(VLOOKUP($B19,'Uttoxeter HM'!$A:$C,3,FALSE),"")</f>
        <v/>
      </c>
      <c r="N19" s="5" t="str">
        <f>IFERROR(VLOOKUP($B19,'Bosworth HM'!$A:$C,3,FALSE),"")</f>
        <v/>
      </c>
      <c r="O19" s="5">
        <f>IFERROR(VLOOKUP($B19,'West End 8'!$A:$C,3,FALSE),"")</f>
        <v>14</v>
      </c>
      <c r="P19" s="5" t="str">
        <f>IFERROR(VLOOKUP($B19,'Swithland 6'!$A:$C,3,FALSE),"")</f>
        <v/>
      </c>
      <c r="Q19" s="5">
        <f>IFERROR(VLOOKUP($B19,'Washlands Relays'!$A:$C,3,FALSE),"")</f>
        <v>0</v>
      </c>
      <c r="R19" s="5">
        <f>IFERROR(VLOOKUP($B19,'Tara Kinder 10K'!$A:$C,3,FALSE),"")</f>
        <v>20</v>
      </c>
      <c r="S19" s="5">
        <f>IFERROR(VLOOKUP($B19,'Worthington 6'!$A:$C,3,FALSE),"")</f>
        <v>9</v>
      </c>
      <c r="T19" s="5" t="str">
        <f>IFERROR(VLOOKUP($B19,'Joy Cann 5'!$A:$C,3,FALSE),"")</f>
        <v/>
      </c>
      <c r="U19" s="5" t="str">
        <f>IFERROR(VLOOKUP($B19,'Burton 10k'!$A:$C,3,FALSE),"")</f>
        <v/>
      </c>
      <c r="V19" s="5">
        <f>IFERROR(VLOOKUP($B19,'Rotherby 8'!$A:$C,3,FALSE),"")</f>
        <v>25</v>
      </c>
      <c r="W19" s="5">
        <f>IFERROR(VLOOKUP($B19,'Lichfield 10k'!$A:$C,3,FALSE),"")</f>
        <v>23</v>
      </c>
      <c r="X19" s="5">
        <f>IFERROR(VLOOKUP($B19,'Adrian Smith'!$A:$C,3,FALSE),"")</f>
        <v>12</v>
      </c>
      <c r="Y19" s="5">
        <f>IFERROR(VLOOKUP($B19,'Tamworth 5'!$A:$C,3,FALSE),"")</f>
        <v>14</v>
      </c>
      <c r="Z19" s="31" t="str">
        <f>IFERROR(VLOOKUP($B19,'Bagworth XC'!$A:$C,3,FALSE),"")</f>
        <v/>
      </c>
      <c r="AA19" s="5" t="str">
        <f>IFERROR(VLOOKUP($B19,'Markfield 10k'!$A:$C,3,FALSE),"")</f>
        <v/>
      </c>
      <c r="AB19" s="5" t="str">
        <f>IFERROR(VLOOKUP($B19,'Shepshed 7'!$A:$C,3,FALSE),"")</f>
        <v/>
      </c>
    </row>
    <row r="20" spans="1:28" x14ac:dyDescent="0.25">
      <c r="A20" s="42">
        <f ca="1">IFERROR(Table2[[#This Row],[Position]],"")</f>
        <v>18</v>
      </c>
      <c r="B20" s="18" t="s">
        <v>4</v>
      </c>
      <c r="C20" s="81">
        <f ca="1">IF(Table2[[#This Row],[Total races]]=0,0,(RANK(E20,$E$3:$E$69)+COUNTIF(E20:$E$59,E20)-1))</f>
        <v>18</v>
      </c>
      <c r="D20" s="5">
        <f>COUNTIF(F20:AB20,"&gt;=0")</f>
        <v>6</v>
      </c>
      <c r="E20" s="5">
        <f t="array" aca="1" ref="E20" ca="1">IF(Table2[[#This Row],[Total races]]&lt;11,SUM(Table2[[#This Row],[Derby 5k]:[Shepshed 7]]),SUM(LARGE(F20:AB20,ROW(INDIRECT("1:10")))))+Table2[[#This Row],[Total races]]*3</f>
        <v>157</v>
      </c>
      <c r="F20" s="5" t="str">
        <f>IFERROR(VLOOKUP(B20,'Derby 5K'!$B$4:$K$15,10,FALSE),"")</f>
        <v/>
      </c>
      <c r="G20" s="5" t="str">
        <f>IFERROR(VLOOKUP(B20,'Grace Dieu XC'!$A:$C,3,FALSE),"")</f>
        <v/>
      </c>
      <c r="H20" s="5" t="str">
        <f>IFERROR(VLOOKUP(B20,'Bosworth XC'!$A:$C,3,FALSE),"")</f>
        <v/>
      </c>
      <c r="I20" s="5" t="str">
        <f>IFERROR(VLOOKUP($B20,'Kibworth 6'!$A:$C,3,FALSE),"")</f>
        <v/>
      </c>
      <c r="J20" s="5" t="str">
        <f>IFERROR(VLOOKUP($B20,'Ivanhoe 20'!$A:$C,3,FALSE),"")</f>
        <v/>
      </c>
      <c r="K20" s="5">
        <f>IFERROR(VLOOKUP($B20,'Run In Forest'!$A:$C,3,FALSE),"")</f>
        <v>26</v>
      </c>
      <c r="L20" s="5" t="str">
        <f>IFERROR(VLOOKUP($B20,'Stilton 7'!$A:$C,3,FALSE),"")</f>
        <v/>
      </c>
      <c r="M20" s="5">
        <f>IFERROR(VLOOKUP($B20,'Uttoxeter HM'!$A:$C,3,FALSE),"")</f>
        <v>30</v>
      </c>
      <c r="N20" s="5" t="str">
        <f>IFERROR(VLOOKUP($B20,'Bosworth HM'!$A:$C,3,FALSE),"")</f>
        <v/>
      </c>
      <c r="O20" s="5" t="str">
        <f>IFERROR(VLOOKUP($B20,'West End 8'!$A:$C,3,FALSE),"")</f>
        <v/>
      </c>
      <c r="P20" s="5">
        <f>IFERROR(VLOOKUP($B20,'Swithland 6'!$A:$C,3,FALSE),"")</f>
        <v>25</v>
      </c>
      <c r="Q20" s="5">
        <f>IFERROR(VLOOKUP($B20,'Washlands Relays'!$A:$C,3,FALSE),"")</f>
        <v>15</v>
      </c>
      <c r="R20" s="5" t="str">
        <f>IFERROR(VLOOKUP($B20,'Tara Kinder 10K'!$A:$C,3,FALSE),"")</f>
        <v/>
      </c>
      <c r="S20" s="5" t="str">
        <f>IFERROR(VLOOKUP($B20,'Worthington 6'!$A:$C,3,FALSE),"")</f>
        <v/>
      </c>
      <c r="T20" s="5" t="str">
        <f>IFERROR(VLOOKUP($B20,'Joy Cann 5'!$A:$C,3,FALSE),"")</f>
        <v/>
      </c>
      <c r="U20" s="5" t="str">
        <f>IFERROR(VLOOKUP($B20,'Burton 10k'!$A:$C,3,FALSE),"")</f>
        <v/>
      </c>
      <c r="V20" s="5" t="str">
        <f>IFERROR(VLOOKUP($B20,'Rotherby 8'!$A:$C,3,FALSE),"")</f>
        <v/>
      </c>
      <c r="W20" s="5" t="str">
        <f>IFERROR(VLOOKUP($B20,'Lichfield 10k'!$A:$C,3,FALSE),"")</f>
        <v/>
      </c>
      <c r="X20" s="5">
        <f>IFERROR(VLOOKUP($B20,'Adrian Smith'!$A:$C,3,FALSE),"")</f>
        <v>25</v>
      </c>
      <c r="Y20" s="5">
        <f>IFERROR(VLOOKUP($B20,'Tamworth 5'!$A:$C,3,FALSE),"")</f>
        <v>18</v>
      </c>
      <c r="Z20" s="31" t="str">
        <f>IFERROR(VLOOKUP($B20,'Bagworth XC'!$A:$C,3,FALSE),"")</f>
        <v/>
      </c>
      <c r="AA20" s="5" t="str">
        <f>IFERROR(VLOOKUP($B20,'Markfield 10k'!$A:$C,3,FALSE),"")</f>
        <v/>
      </c>
      <c r="AB20" s="5" t="str">
        <f>IFERROR(VLOOKUP($B20,'Shepshed 7'!$A:$C,3,FALSE),"")</f>
        <v/>
      </c>
    </row>
    <row r="21" spans="1:28" x14ac:dyDescent="0.25">
      <c r="A21" s="42">
        <f ca="1">IFERROR(Table2[[#This Row],[Position]],"")</f>
        <v>19</v>
      </c>
      <c r="B21" s="18" t="s">
        <v>57</v>
      </c>
      <c r="C21" s="81">
        <f ca="1">IF(Table2[[#This Row],[Total races]]=0,0,(RANK(E21,$E$3:$E$69)+COUNTIF(E21:$E$59,E21)-1))</f>
        <v>19</v>
      </c>
      <c r="D21" s="5">
        <f>COUNTIF(F21:AB21,"&gt;=0")</f>
        <v>7</v>
      </c>
      <c r="E21" s="5">
        <f t="array" aca="1" ref="E21" ca="1">IF(Table2[[#This Row],[Total races]]&lt;11,SUM(Table2[[#This Row],[Derby 5k]:[Shepshed 7]]),SUM(LARGE(F21:AB21,ROW(INDIRECT("1:10")))))+Table2[[#This Row],[Total races]]*3</f>
        <v>152</v>
      </c>
      <c r="F21" s="5" t="str">
        <f>IFERROR(VLOOKUP(B21,'Derby 5K'!$B$4:$K$15,10,FALSE),"")</f>
        <v/>
      </c>
      <c r="G21" s="5" t="str">
        <f>IFERROR(VLOOKUP(B21,'Grace Dieu XC'!$A:$C,3,FALSE),"")</f>
        <v/>
      </c>
      <c r="H21" s="5" t="str">
        <f>IFERROR(VLOOKUP(B21,'Bosworth XC'!$A:$C,3,FALSE),"")</f>
        <v/>
      </c>
      <c r="I21" s="5" t="str">
        <f>IFERROR(VLOOKUP($B21,'Kibworth 6'!$A:$C,3,FALSE),"")</f>
        <v/>
      </c>
      <c r="J21" s="5">
        <f>IFERROR(VLOOKUP($B21,'Ivanhoe 20'!$A:$C,3,FALSE),"")</f>
        <v>22</v>
      </c>
      <c r="K21" s="5" t="str">
        <f>IFERROR(VLOOKUP($B21,'Run In Forest'!$A:$C,3,FALSE),"")</f>
        <v/>
      </c>
      <c r="L21" s="5">
        <f>IFERROR(VLOOKUP($B21,'Stilton 7'!$A:$C,3,FALSE),"")</f>
        <v>27</v>
      </c>
      <c r="M21" s="5" t="str">
        <f>IFERROR(VLOOKUP($B21,'Uttoxeter HM'!$A:$C,3,FALSE),"")</f>
        <v/>
      </c>
      <c r="N21" s="5">
        <f>IFERROR(VLOOKUP($B21,'Bosworth HM'!$A:$C,3,FALSE),"")</f>
        <v>22</v>
      </c>
      <c r="O21" s="5">
        <f>IFERROR(VLOOKUP($B21,'West End 8'!$A:$C,3,FALSE),"")</f>
        <v>23</v>
      </c>
      <c r="P21" s="5" t="str">
        <f>IFERROR(VLOOKUP($B21,'Swithland 6'!$A:$C,3,FALSE),"")</f>
        <v/>
      </c>
      <c r="Q21" s="5">
        <f>IFERROR(VLOOKUP($B21,'Washlands Relays'!$A:$C,3,FALSE),"")</f>
        <v>4</v>
      </c>
      <c r="R21" s="5" t="str">
        <f>IFERROR(VLOOKUP($B21,'Tara Kinder 10K'!$A:$C,3,FALSE),"")</f>
        <v/>
      </c>
      <c r="S21" s="5">
        <f>IFERROR(VLOOKUP($B21,'Worthington 6'!$A:$C,3,FALSE),"")</f>
        <v>16</v>
      </c>
      <c r="T21" s="5" t="str">
        <f>IFERROR(VLOOKUP($B21,'Joy Cann 5'!$A:$C,3,FALSE),"")</f>
        <v/>
      </c>
      <c r="U21" s="5" t="str">
        <f>IFERROR(VLOOKUP($B21,'Burton 10k'!$A:$C,3,FALSE),"")</f>
        <v/>
      </c>
      <c r="V21" s="5" t="str">
        <f>IFERROR(VLOOKUP($B21,'Rotherby 8'!$A:$C,3,FALSE),"")</f>
        <v/>
      </c>
      <c r="W21" s="5" t="str">
        <f>IFERROR(VLOOKUP($B21,'Lichfield 10k'!$A:$C,3,FALSE),"")</f>
        <v/>
      </c>
      <c r="X21" s="5">
        <f>IFERROR(VLOOKUP($B21,'Adrian Smith'!$A:$C,3,FALSE),"")</f>
        <v>17</v>
      </c>
      <c r="Y21" s="5" t="str">
        <f>IFERROR(VLOOKUP($B21,'Tamworth 5'!$A:$C,3,FALSE),"")</f>
        <v/>
      </c>
      <c r="Z21" s="31" t="str">
        <f>IFERROR(VLOOKUP($B21,'Bagworth XC'!$A:$C,3,FALSE),"")</f>
        <v/>
      </c>
      <c r="AA21" s="5" t="str">
        <f>IFERROR(VLOOKUP($B21,'Markfield 10k'!$A:$C,3,FALSE),"")</f>
        <v/>
      </c>
      <c r="AB21" s="5" t="str">
        <f>IFERROR(VLOOKUP($B21,'Shepshed 7'!$A:$C,3,FALSE),"")</f>
        <v/>
      </c>
    </row>
    <row r="22" spans="1:28" x14ac:dyDescent="0.25">
      <c r="A22" s="42">
        <f ca="1">IFERROR(Table2[[#This Row],[Position]],"")</f>
        <v>20</v>
      </c>
      <c r="B22" s="18" t="s">
        <v>304</v>
      </c>
      <c r="C22" s="81">
        <f ca="1">IF(Table2[[#This Row],[Total races]]=0,0,(RANK(E22,$E$3:$E$69)+COUNTIF(E22:$E$65,E22)-1))</f>
        <v>20</v>
      </c>
      <c r="D22" s="5">
        <f>COUNTIF(F22:AB22,"&gt;=0")</f>
        <v>5</v>
      </c>
      <c r="E22" s="5">
        <f t="array" aca="1" ref="E22" ca="1">IF(Table2[[#This Row],[Total races]]&lt;11,SUM(Table2[[#This Row],[Derby 5k]:[Shepshed 7]]),SUM(LARGE(F22:AB22,ROW(INDIRECT("1:10")))))+Table2[[#This Row],[Total races]]*3</f>
        <v>149</v>
      </c>
      <c r="F22" s="5" t="str">
        <f>IFERROR(VLOOKUP(B22,'Derby 5K'!$B$4:$K$15,10,FALSE),"")</f>
        <v/>
      </c>
      <c r="G22" s="5" t="str">
        <f>IFERROR(VLOOKUP(B22,'Grace Dieu XC'!$A:$C,3,FALSE),"")</f>
        <v/>
      </c>
      <c r="H22" s="5" t="str">
        <f>IFERROR(VLOOKUP(B22,'Bosworth XC'!$A:$C,3,FALSE),"")</f>
        <v/>
      </c>
      <c r="I22" s="5" t="str">
        <f>IFERROR(VLOOKUP($B22,'Kibworth 6'!$A:$C,3,FALSE),"")</f>
        <v/>
      </c>
      <c r="J22" s="5" t="str">
        <f>IFERROR(VLOOKUP($B22,'Ivanhoe 20'!$A:$C,3,FALSE),"")</f>
        <v/>
      </c>
      <c r="K22" s="5" t="str">
        <f>IFERROR(VLOOKUP($B22,'Run In Forest'!$A:$C,3,FALSE),"")</f>
        <v/>
      </c>
      <c r="L22" s="5" t="str">
        <f>IFERROR(VLOOKUP($B22,'Stilton 7'!$A:$C,3,FALSE),"")</f>
        <v/>
      </c>
      <c r="M22" s="5" t="str">
        <f>IFERROR(VLOOKUP($B22,'Uttoxeter HM'!$A:$C,3,FALSE),"")</f>
        <v/>
      </c>
      <c r="N22" s="5" t="str">
        <f>IFERROR(VLOOKUP($B22,'Bosworth HM'!$A:$C,3,FALSE),"")</f>
        <v/>
      </c>
      <c r="O22" s="5" t="str">
        <f>IFERROR(VLOOKUP($B22,'West End 8'!$A:$C,3,FALSE),"")</f>
        <v/>
      </c>
      <c r="P22" s="5" t="str">
        <f>IFERROR(VLOOKUP($B22,'Swithland 6'!$A:$C,3,FALSE),"")</f>
        <v/>
      </c>
      <c r="Q22" s="5">
        <f>IFERROR(VLOOKUP($B22,'Washlands Relays'!$A:$C,3,FALSE),"")</f>
        <v>28</v>
      </c>
      <c r="R22" s="5">
        <f>IFERROR(VLOOKUP($B22,'Tara Kinder 10K'!$A:$C,3,FALSE),"")</f>
        <v>29</v>
      </c>
      <c r="S22" s="5">
        <f>IFERROR(VLOOKUP($B22,'Worthington 6'!$A:$C,3,FALSE),"")</f>
        <v>30</v>
      </c>
      <c r="T22" s="5" t="str">
        <f>IFERROR(VLOOKUP($B22,'Joy Cann 5'!$A:$C,3,FALSE),"")</f>
        <v/>
      </c>
      <c r="U22" s="5" t="str">
        <f>IFERROR(VLOOKUP($B22,'Burton 10k'!$A:$C,3,FALSE),"")</f>
        <v/>
      </c>
      <c r="V22" s="5" t="str">
        <f>IFERROR(VLOOKUP($B22,'Rotherby 8'!$A:$C,3,FALSE),"")</f>
        <v/>
      </c>
      <c r="W22" s="5" t="str">
        <f>IFERROR(VLOOKUP($B22,'Lichfield 10k'!$A:$C,3,FALSE),"")</f>
        <v/>
      </c>
      <c r="X22" s="5" t="str">
        <f>IFERROR(VLOOKUP($B22,'Adrian Smith'!$A:$C,3,FALSE),"")</f>
        <v/>
      </c>
      <c r="Y22" s="5">
        <f>IFERROR(VLOOKUP($B22,'Tamworth 5'!$A:$C,3,FALSE),"")</f>
        <v>22</v>
      </c>
      <c r="Z22" s="31">
        <f>IFERROR(VLOOKUP($B22,'Bagworth XC'!$A:$C,3,FALSE),"")</f>
        <v>25</v>
      </c>
      <c r="AA22" s="5" t="str">
        <f>IFERROR(VLOOKUP($B22,'Markfield 10k'!$A:$C,3,FALSE),"")</f>
        <v/>
      </c>
      <c r="AB22" s="5" t="str">
        <f>IFERROR(VLOOKUP($B22,'Shepshed 7'!$A:$C,3,FALSE),"")</f>
        <v/>
      </c>
    </row>
    <row r="23" spans="1:28" x14ac:dyDescent="0.25">
      <c r="A23" s="42">
        <f ca="1">IFERROR(Table2[[#This Row],[Position]],"")</f>
        <v>21</v>
      </c>
      <c r="B23" s="18" t="s">
        <v>107</v>
      </c>
      <c r="C23" s="81">
        <f ca="1">IF(Table2[[#This Row],[Total races]]=0,0,(RANK(E23,$E$3:$E$69)+COUNTIF(E23:$E$59,E23)-1))</f>
        <v>21</v>
      </c>
      <c r="D23" s="5">
        <f>COUNTIF(F23:AB23,"&gt;=0")</f>
        <v>5</v>
      </c>
      <c r="E23" s="5">
        <f t="array" aca="1" ref="E23" ca="1">IF(Table2[[#This Row],[Total races]]&lt;11,SUM(Table2[[#This Row],[Derby 5k]:[Shepshed 7]]),SUM(LARGE(F23:AB23,ROW(INDIRECT("1:10")))))+Table2[[#This Row],[Total races]]*3</f>
        <v>145</v>
      </c>
      <c r="F23" s="5" t="str">
        <f>IFERROR(VLOOKUP(B23,'Derby 5K'!$B$4:$K$15,10,FALSE),"")</f>
        <v/>
      </c>
      <c r="G23" s="5">
        <f>IFERROR(VLOOKUP(B23,'Grace Dieu XC'!$A:$C,3,FALSE),"")</f>
        <v>25</v>
      </c>
      <c r="H23" s="5">
        <f>IFERROR(VLOOKUP(B23,'Bosworth XC'!$A:$C,3,FALSE),"")</f>
        <v>28</v>
      </c>
      <c r="I23" s="5">
        <f>IFERROR(VLOOKUP($B23,'Kibworth 6'!$A:$C,3,FALSE),"")</f>
        <v>29</v>
      </c>
      <c r="J23" s="5" t="str">
        <f>IFERROR(VLOOKUP($B23,'Ivanhoe 20'!$A:$C,3,FALSE),"")</f>
        <v/>
      </c>
      <c r="K23" s="5">
        <f>IFERROR(VLOOKUP($B23,'Run In Forest'!$A:$C,3,FALSE),"")</f>
        <v>24</v>
      </c>
      <c r="L23" s="5" t="str">
        <f>IFERROR(VLOOKUP($B23,'Stilton 7'!$A:$C,3,FALSE),"")</f>
        <v/>
      </c>
      <c r="M23" s="5" t="str">
        <f>IFERROR(VLOOKUP($B23,'Uttoxeter HM'!$A:$C,3,FALSE),"")</f>
        <v/>
      </c>
      <c r="N23" s="5" t="str">
        <f>IFERROR(VLOOKUP($B23,'Bosworth HM'!$A:$C,3,FALSE),"")</f>
        <v/>
      </c>
      <c r="O23" s="5">
        <f>IFERROR(VLOOKUP($B23,'West End 8'!$A:$C,3,FALSE),"")</f>
        <v>24</v>
      </c>
      <c r="P23" s="5" t="str">
        <f>IFERROR(VLOOKUP($B23,'Swithland 6'!$A:$C,3,FALSE),"")</f>
        <v/>
      </c>
      <c r="Q23" s="5" t="str">
        <f>IFERROR(VLOOKUP($B23,'Washlands Relays'!$A:$C,3,FALSE),"")</f>
        <v/>
      </c>
      <c r="R23" s="5" t="str">
        <f>IFERROR(VLOOKUP($B23,'Tara Kinder 10K'!$A:$C,3,FALSE),"")</f>
        <v/>
      </c>
      <c r="S23" s="5" t="str">
        <f>IFERROR(VLOOKUP($B23,'Worthington 6'!$A:$C,3,FALSE),"")</f>
        <v/>
      </c>
      <c r="T23" s="5" t="str">
        <f>IFERROR(VLOOKUP($B23,'Joy Cann 5'!$A:$C,3,FALSE),"")</f>
        <v/>
      </c>
      <c r="U23" s="5" t="str">
        <f>IFERROR(VLOOKUP($B23,'Burton 10k'!$A:$C,3,FALSE),"")</f>
        <v/>
      </c>
      <c r="V23" s="5" t="str">
        <f>IFERROR(VLOOKUP($B23,'Rotherby 8'!$A:$C,3,FALSE),"")</f>
        <v/>
      </c>
      <c r="W23" s="5" t="str">
        <f>IFERROR(VLOOKUP($B23,'Lichfield 10k'!$A:$C,3,FALSE),"")</f>
        <v/>
      </c>
      <c r="X23" s="5" t="str">
        <f>IFERROR(VLOOKUP($B23,'Adrian Smith'!$A:$C,3,FALSE),"")</f>
        <v/>
      </c>
      <c r="Y23" s="5" t="str">
        <f>IFERROR(VLOOKUP($B23,'Tamworth 5'!$A:$C,3,FALSE),"")</f>
        <v/>
      </c>
      <c r="Z23" s="31" t="str">
        <f>IFERROR(VLOOKUP($B23,'Bagworth XC'!$A:$C,3,FALSE),"")</f>
        <v/>
      </c>
      <c r="AA23" s="5" t="str">
        <f>IFERROR(VLOOKUP($B23,'Markfield 10k'!$A:$C,3,FALSE),"")</f>
        <v/>
      </c>
      <c r="AB23" s="5" t="str">
        <f>IFERROR(VLOOKUP($B23,'Shepshed 7'!$A:$C,3,FALSE),"")</f>
        <v/>
      </c>
    </row>
    <row r="24" spans="1:28" x14ac:dyDescent="0.25">
      <c r="A24" s="42">
        <f ca="1">IFERROR(Table2[[#This Row],[Position]],"")</f>
        <v>22</v>
      </c>
      <c r="B24" s="18" t="s">
        <v>6</v>
      </c>
      <c r="C24" s="81">
        <f ca="1">IF(Table2[[#This Row],[Total races]]=0,0,(RANK(E24,$E$3:$E$69)+COUNTIF(E24:$E$59,E24)-1))</f>
        <v>22</v>
      </c>
      <c r="D24" s="5">
        <f>COUNTIF(F24:AB24,"&gt;=0")</f>
        <v>5</v>
      </c>
      <c r="E24" s="5">
        <f t="array" aca="1" ref="E24" ca="1">IF(Table2[[#This Row],[Total races]]&lt;11,SUM(Table2[[#This Row],[Derby 5k]:[Shepshed 7]]),SUM(LARGE(F24:AB24,ROW(INDIRECT("1:10")))))+Table2[[#This Row],[Total races]]*3</f>
        <v>132</v>
      </c>
      <c r="F24" s="5" t="str">
        <f>IFERROR(VLOOKUP(B24,'Derby 5K'!$B$4:$K$15,10,FALSE),"")</f>
        <v/>
      </c>
      <c r="G24" s="5" t="str">
        <f>IFERROR(VLOOKUP(B24,'Grace Dieu XC'!$A:$C,3,FALSE),"")</f>
        <v/>
      </c>
      <c r="H24" s="5" t="str">
        <f>IFERROR(VLOOKUP(B24,'Bosworth XC'!$A:$C,3,FALSE),"")</f>
        <v/>
      </c>
      <c r="I24" s="5">
        <f>IFERROR(VLOOKUP($B24,'Kibworth 6'!$A:$C,3,FALSE),"")</f>
        <v>30</v>
      </c>
      <c r="J24" s="5" t="str">
        <f>IFERROR(VLOOKUP($B24,'Ivanhoe 20'!$A:$C,3,FALSE),"")</f>
        <v/>
      </c>
      <c r="K24" s="5" t="str">
        <f>IFERROR(VLOOKUP($B24,'Run In Forest'!$A:$C,3,FALSE),"")</f>
        <v/>
      </c>
      <c r="L24" s="5" t="str">
        <f>IFERROR(VLOOKUP($B24,'Stilton 7'!$A:$C,3,FALSE),"")</f>
        <v/>
      </c>
      <c r="M24" s="5" t="str">
        <f>IFERROR(VLOOKUP($B24,'Uttoxeter HM'!$A:$C,3,FALSE),"")</f>
        <v/>
      </c>
      <c r="N24" s="5" t="str">
        <f>IFERROR(VLOOKUP($B24,'Bosworth HM'!$A:$C,3,FALSE),"")</f>
        <v/>
      </c>
      <c r="O24" s="5" t="str">
        <f>IFERROR(VLOOKUP($B24,'West End 8'!$A:$C,3,FALSE),"")</f>
        <v/>
      </c>
      <c r="P24" s="5" t="str">
        <f>IFERROR(VLOOKUP($B24,'Swithland 6'!$A:$C,3,FALSE),"")</f>
        <v/>
      </c>
      <c r="Q24" s="5">
        <f>IFERROR(VLOOKUP($B24,'Washlands Relays'!$A:$C,3,FALSE),"")</f>
        <v>6</v>
      </c>
      <c r="R24" s="5">
        <f>IFERROR(VLOOKUP($B24,'Tara Kinder 10K'!$A:$C,3,FALSE),"")</f>
        <v>23</v>
      </c>
      <c r="S24" s="5" t="str">
        <f>IFERROR(VLOOKUP($B24,'Worthington 6'!$A:$C,3,FALSE),"")</f>
        <v/>
      </c>
      <c r="T24" s="5" t="str">
        <f>IFERROR(VLOOKUP($B24,'Joy Cann 5'!$A:$C,3,FALSE),"")</f>
        <v/>
      </c>
      <c r="U24" s="5" t="str">
        <f>IFERROR(VLOOKUP($B24,'Burton 10k'!$A:$C,3,FALSE),"")</f>
        <v/>
      </c>
      <c r="V24" s="5">
        <f>IFERROR(VLOOKUP($B24,'Rotherby 8'!$A:$C,3,FALSE),"")</f>
        <v>29</v>
      </c>
      <c r="W24" s="5" t="str">
        <f>IFERROR(VLOOKUP($B24,'Lichfield 10k'!$A:$C,3,FALSE),"")</f>
        <v/>
      </c>
      <c r="X24" s="5" t="str">
        <f>IFERROR(VLOOKUP($B24,'Adrian Smith'!$A:$C,3,FALSE),"")</f>
        <v/>
      </c>
      <c r="Y24" s="5" t="str">
        <f>IFERROR(VLOOKUP($B24,'Tamworth 5'!$A:$C,3,FALSE),"")</f>
        <v/>
      </c>
      <c r="Z24" s="31" t="str">
        <f>IFERROR(VLOOKUP($B24,'Bagworth XC'!$A:$C,3,FALSE),"")</f>
        <v/>
      </c>
      <c r="AA24" s="5" t="str">
        <f>IFERROR(VLOOKUP($B24,'Markfield 10k'!$A:$C,3,FALSE),"")</f>
        <v/>
      </c>
      <c r="AB24" s="5">
        <f>IFERROR(VLOOKUP($B24,'Shepshed 7'!$A:$C,3,FALSE),"")</f>
        <v>29</v>
      </c>
    </row>
    <row r="25" spans="1:28" x14ac:dyDescent="0.25">
      <c r="A25" s="42">
        <f ca="1">IFERROR(Table2[[#This Row],[Position]],"")</f>
        <v>23</v>
      </c>
      <c r="B25" s="18" t="s">
        <v>283</v>
      </c>
      <c r="C25" s="81">
        <f ca="1">IF(Table2[[#This Row],[Total races]]=0,0,(RANK(E25,$E$3:$E$69)+COUNTIF(E25:$E$59,E25)-1))</f>
        <v>23</v>
      </c>
      <c r="D25" s="5">
        <f>COUNTIF(F25:AB25,"&gt;=0")</f>
        <v>4</v>
      </c>
      <c r="E25" s="5">
        <f t="array" aca="1" ref="E25" ca="1">IF(Table2[[#This Row],[Total races]]&lt;11,SUM(Table2[[#This Row],[Derby 5k]:[Shepshed 7]]),SUM(LARGE(F25:AB25,ROW(INDIRECT("1:10")))))+Table2[[#This Row],[Total races]]*3</f>
        <v>114</v>
      </c>
      <c r="F25" s="5" t="str">
        <f>IFERROR(VLOOKUP(B25,'Derby 5K'!$B$4:$K$15,10,FALSE),"")</f>
        <v/>
      </c>
      <c r="G25" s="5" t="str">
        <f>IFERROR(VLOOKUP(B25,'Grace Dieu XC'!$A:$C,3,FALSE),"")</f>
        <v/>
      </c>
      <c r="H25" s="5" t="str">
        <f>IFERROR(VLOOKUP(B25,'Bosworth XC'!$A:$C,3,FALSE),"")</f>
        <v/>
      </c>
      <c r="I25" s="5" t="str">
        <f>IFERROR(VLOOKUP($B25,'Kibworth 6'!$A:$C,3,FALSE),"")</f>
        <v/>
      </c>
      <c r="J25" s="5" t="str">
        <f>IFERROR(VLOOKUP($B25,'Ivanhoe 20'!$A:$C,3,FALSE),"")</f>
        <v/>
      </c>
      <c r="K25" s="5" t="str">
        <f>IFERROR(VLOOKUP($B25,'Run In Forest'!$A:$C,3,FALSE),"")</f>
        <v/>
      </c>
      <c r="L25" s="5" t="str">
        <f>IFERROR(VLOOKUP($B25,'Stilton 7'!$A:$C,3,FALSE),"")</f>
        <v/>
      </c>
      <c r="M25" s="5" t="str">
        <f>IFERROR(VLOOKUP($B25,'Uttoxeter HM'!$A:$C,3,FALSE),"")</f>
        <v/>
      </c>
      <c r="N25" s="5">
        <f>IFERROR(VLOOKUP($B25,'Bosworth HM'!$A:$C,3,FALSE),"")</f>
        <v>25</v>
      </c>
      <c r="O25" s="5" t="str">
        <f>IFERROR(VLOOKUP($B25,'West End 8'!$A:$C,3,FALSE),"")</f>
        <v/>
      </c>
      <c r="P25" s="5" t="str">
        <f>IFERROR(VLOOKUP($B25,'Swithland 6'!$A:$C,3,FALSE),"")</f>
        <v/>
      </c>
      <c r="Q25" s="5" t="str">
        <f>IFERROR(VLOOKUP($B25,'Washlands Relays'!$A:$C,3,FALSE),"")</f>
        <v/>
      </c>
      <c r="R25" s="5" t="str">
        <f>IFERROR(VLOOKUP($B25,'Tara Kinder 10K'!$A:$C,3,FALSE),"")</f>
        <v/>
      </c>
      <c r="S25" s="5">
        <f>IFERROR(VLOOKUP($B25,'Worthington 6'!$A:$C,3,FALSE),"")</f>
        <v>25</v>
      </c>
      <c r="T25" s="5" t="str">
        <f>IFERROR(VLOOKUP($B25,'Joy Cann 5'!$A:$C,3,FALSE),"")</f>
        <v/>
      </c>
      <c r="U25" s="5" t="str">
        <f>IFERROR(VLOOKUP($B25,'Burton 10k'!$A:$C,3,FALSE),"")</f>
        <v/>
      </c>
      <c r="V25" s="5" t="str">
        <f>IFERROR(VLOOKUP($B25,'Rotherby 8'!$A:$C,3,FALSE),"")</f>
        <v/>
      </c>
      <c r="W25" s="5" t="str">
        <f>IFERROR(VLOOKUP($B25,'Lichfield 10k'!$A:$C,3,FALSE),"")</f>
        <v/>
      </c>
      <c r="X25" s="5">
        <f>IFERROR(VLOOKUP($B25,'Adrian Smith'!$A:$C,3,FALSE),"")</f>
        <v>27</v>
      </c>
      <c r="Y25" s="5">
        <f>IFERROR(VLOOKUP($B25,'Tamworth 5'!$A:$C,3,FALSE),"")</f>
        <v>25</v>
      </c>
      <c r="Z25" s="31" t="str">
        <f>IFERROR(VLOOKUP($B25,'Bagworth XC'!$A:$C,3,FALSE),"")</f>
        <v/>
      </c>
      <c r="AA25" s="5" t="str">
        <f>IFERROR(VLOOKUP($B25,'Markfield 10k'!$A:$C,3,FALSE),"")</f>
        <v/>
      </c>
      <c r="AB25" s="5" t="str">
        <f>IFERROR(VLOOKUP($B25,'Shepshed 7'!$A:$C,3,FALSE),"")</f>
        <v/>
      </c>
    </row>
    <row r="26" spans="1:28" x14ac:dyDescent="0.25">
      <c r="A26" s="42">
        <f ca="1">IFERROR(Table2[[#This Row],[Position]],"")</f>
        <v>25</v>
      </c>
      <c r="B26" s="18" t="s">
        <v>346</v>
      </c>
      <c r="C26" s="81">
        <f ca="1">IF(Table2[[#This Row],[Total races]]=0,0,(RANK(E26,$E$3:$E$69)+COUNTIF(E26:$E$67,E26)-1))</f>
        <v>25</v>
      </c>
      <c r="D26" s="5">
        <f>COUNTIF(F26:AB26,"&gt;=0")</f>
        <v>4</v>
      </c>
      <c r="E26" s="5">
        <f t="array" aca="1" ref="E26" ca="1">IF(Table2[[#This Row],[Total races]]&lt;11,SUM(Table2[[#This Row],[Derby 5k]:[Shepshed 7]]),SUM(LARGE(F26:AB26,ROW(INDIRECT("1:10")))))+Table2[[#This Row],[Total races]]*3</f>
        <v>106</v>
      </c>
      <c r="F26" s="5" t="str">
        <f>IFERROR(VLOOKUP(B26,'Derby 5K'!$B$4:$K$15,10,FALSE),"")</f>
        <v/>
      </c>
      <c r="G26" s="5" t="str">
        <f>IFERROR(VLOOKUP(B26,'Grace Dieu XC'!$A:$C,3,FALSE),"")</f>
        <v/>
      </c>
      <c r="H26" s="5" t="str">
        <f>IFERROR(VLOOKUP(B26,'Bosworth XC'!$A:$C,3,FALSE),"")</f>
        <v/>
      </c>
      <c r="I26" s="5" t="str">
        <f>IFERROR(VLOOKUP($B26,'Kibworth 6'!$A:$C,3,FALSE),"")</f>
        <v/>
      </c>
      <c r="J26" s="5" t="str">
        <f>IFERROR(VLOOKUP($B26,'Ivanhoe 20'!$A:$C,3,FALSE),"")</f>
        <v/>
      </c>
      <c r="K26" s="5" t="str">
        <f>IFERROR(VLOOKUP($B26,'Run In Forest'!$A:$C,3,FALSE),"")</f>
        <v/>
      </c>
      <c r="L26" s="5" t="str">
        <f>IFERROR(VLOOKUP($B26,'Stilton 7'!$A:$C,3,FALSE),"")</f>
        <v/>
      </c>
      <c r="M26" s="5" t="str">
        <f>IFERROR(VLOOKUP($B26,'Uttoxeter HM'!$A:$C,3,FALSE),"")</f>
        <v/>
      </c>
      <c r="N26" s="5" t="str">
        <f>IFERROR(VLOOKUP($B26,'Bosworth HM'!$A:$C,3,FALSE),"")</f>
        <v/>
      </c>
      <c r="O26" s="5" t="str">
        <f>IFERROR(VLOOKUP($B26,'West End 8'!$A:$C,3,FALSE),"")</f>
        <v/>
      </c>
      <c r="P26" s="5" t="str">
        <f>IFERROR(VLOOKUP($B26,'Swithland 6'!$A:$C,3,FALSE),"")</f>
        <v/>
      </c>
      <c r="Q26" s="5" t="str">
        <f>IFERROR(VLOOKUP($B26,'Washlands Relays'!$A:$C,3,FALSE),"")</f>
        <v/>
      </c>
      <c r="R26" s="5">
        <f>IFERROR(VLOOKUP($B26,'Tara Kinder 10K'!$A:$C,3,FALSE),"")</f>
        <v>24</v>
      </c>
      <c r="S26" s="5">
        <f>IFERROR(VLOOKUP($B26,'Worthington 6'!$A:$C,3,FALSE),"")</f>
        <v>22</v>
      </c>
      <c r="T26" s="5" t="str">
        <f>IFERROR(VLOOKUP($B26,'Joy Cann 5'!$A:$C,3,FALSE),"")</f>
        <v/>
      </c>
      <c r="U26" s="5">
        <f>IFERROR(VLOOKUP($B26,'Burton 10k'!$A:$C,3,FALSE),"")</f>
        <v>25</v>
      </c>
      <c r="V26" s="5" t="str">
        <f>IFERROR(VLOOKUP($B26,'Rotherby 8'!$A:$C,3,FALSE),"")</f>
        <v/>
      </c>
      <c r="W26" s="5" t="str">
        <f>IFERROR(VLOOKUP($B26,'Lichfield 10k'!$A:$C,3,FALSE),"")</f>
        <v/>
      </c>
      <c r="X26" s="5" t="str">
        <f>IFERROR(VLOOKUP($B26,'Adrian Smith'!$A:$C,3,FALSE),"")</f>
        <v/>
      </c>
      <c r="Y26" s="5">
        <f>IFERROR(VLOOKUP($B26,'Tamworth 5'!$A:$C,3,FALSE),"")</f>
        <v>23</v>
      </c>
      <c r="Z26" s="31" t="str">
        <f>IFERROR(VLOOKUP($B26,'Bagworth XC'!$A:$C,3,FALSE),"")</f>
        <v/>
      </c>
      <c r="AA26" s="5" t="str">
        <f>IFERROR(VLOOKUP($B26,'Markfield 10k'!$A:$C,3,FALSE),"")</f>
        <v/>
      </c>
      <c r="AB26" s="5" t="str">
        <f>IFERROR(VLOOKUP($B26,'Shepshed 7'!$A:$C,3,FALSE),"")</f>
        <v/>
      </c>
    </row>
    <row r="27" spans="1:28" x14ac:dyDescent="0.25">
      <c r="A27" s="42">
        <f ca="1">IFERROR(Table2[[#This Row],[Position]],"")</f>
        <v>24</v>
      </c>
      <c r="B27" s="18" t="s">
        <v>118</v>
      </c>
      <c r="C27" s="81">
        <f ca="1">IF(Table2[[#This Row],[Total races]]=0,0,(RANK(E27,$E$3:$E$69)+COUNTIF(E27:$E$67,E27)-1))</f>
        <v>24</v>
      </c>
      <c r="D27" s="5">
        <f>COUNTIF(F27:AB27,"&gt;=0")</f>
        <v>4</v>
      </c>
      <c r="E27" s="5">
        <f t="array" aca="1" ref="E27" ca="1">IF(Table2[[#This Row],[Total races]]&lt;11,SUM(Table2[[#This Row],[Derby 5k]:[Shepshed 7]]),SUM(LARGE(F27:AB27,ROW(INDIRECT("1:10")))))+Table2[[#This Row],[Total races]]*3</f>
        <v>106</v>
      </c>
      <c r="F27" s="5" t="str">
        <f>IFERROR(VLOOKUP(B27,'Derby 5K'!$B$4:$K$15,10,FALSE),"")</f>
        <v/>
      </c>
      <c r="G27" s="5">
        <f>IFERROR(VLOOKUP(B27,'Grace Dieu XC'!$A:$C,3,FALSE),"")</f>
        <v>26</v>
      </c>
      <c r="H27" s="5" t="str">
        <f>IFERROR(VLOOKUP(B27,'Bosworth XC'!$A:$C,3,FALSE),"")</f>
        <v/>
      </c>
      <c r="I27" s="5" t="str">
        <f>IFERROR(VLOOKUP($B27,'Kibworth 6'!$A:$C,3,FALSE),"")</f>
        <v/>
      </c>
      <c r="J27" s="5">
        <f>IFERROR(VLOOKUP($B27,'Ivanhoe 20'!$A:$C,3,FALSE),"")</f>
        <v>23</v>
      </c>
      <c r="K27" s="5" t="str">
        <f>IFERROR(VLOOKUP($B27,'Run In Forest'!$A:$C,3,FALSE),"")</f>
        <v/>
      </c>
      <c r="L27" s="5" t="str">
        <f>IFERROR(VLOOKUP($B27,'Stilton 7'!$A:$C,3,FALSE),"")</f>
        <v/>
      </c>
      <c r="M27" s="5" t="str">
        <f>IFERROR(VLOOKUP($B27,'Uttoxeter HM'!$A:$C,3,FALSE),"")</f>
        <v/>
      </c>
      <c r="N27" s="5" t="str">
        <f>IFERROR(VLOOKUP($B27,'Bosworth HM'!$A:$C,3,FALSE),"")</f>
        <v/>
      </c>
      <c r="O27" s="5" t="str">
        <f>IFERROR(VLOOKUP($B27,'West End 8'!$A:$C,3,FALSE),"")</f>
        <v/>
      </c>
      <c r="P27" s="5" t="str">
        <f>IFERROR(VLOOKUP($B27,'Swithland 6'!$A:$C,3,FALSE),"")</f>
        <v/>
      </c>
      <c r="Q27" s="5">
        <f>IFERROR(VLOOKUP($B27,'Washlands Relays'!$A:$C,3,FALSE),"")</f>
        <v>18</v>
      </c>
      <c r="R27" s="5" t="str">
        <f>IFERROR(VLOOKUP($B27,'Tara Kinder 10K'!$A:$C,3,FALSE),"")</f>
        <v/>
      </c>
      <c r="S27" s="5" t="str">
        <f>IFERROR(VLOOKUP($B27,'Worthington 6'!$A:$C,3,FALSE),"")</f>
        <v/>
      </c>
      <c r="T27" s="5" t="str">
        <f>IFERROR(VLOOKUP($B27,'Joy Cann 5'!$A:$C,3,FALSE),"")</f>
        <v/>
      </c>
      <c r="U27" s="5" t="str">
        <f>IFERROR(VLOOKUP($B27,'Burton 10k'!$A:$C,3,FALSE),"")</f>
        <v/>
      </c>
      <c r="V27" s="5" t="str">
        <f>IFERROR(VLOOKUP($B27,'Rotherby 8'!$A:$C,3,FALSE),"")</f>
        <v/>
      </c>
      <c r="W27" s="5" t="str">
        <f>IFERROR(VLOOKUP($B27,'Lichfield 10k'!$A:$C,3,FALSE),"")</f>
        <v/>
      </c>
      <c r="X27" s="5" t="str">
        <f>IFERROR(VLOOKUP($B27,'Adrian Smith'!$A:$C,3,FALSE),"")</f>
        <v/>
      </c>
      <c r="Y27" s="5" t="str">
        <f>IFERROR(VLOOKUP($B27,'Tamworth 5'!$A:$C,3,FALSE),"")</f>
        <v/>
      </c>
      <c r="Z27" s="31" t="str">
        <f>IFERROR(VLOOKUP($B27,'Bagworth XC'!$A:$C,3,FALSE),"")</f>
        <v/>
      </c>
      <c r="AA27" s="5" t="str">
        <f>IFERROR(VLOOKUP($B27,'Markfield 10k'!$A:$C,3,FALSE),"")</f>
        <v/>
      </c>
      <c r="AB27" s="5">
        <f>IFERROR(VLOOKUP($B27,'Shepshed 7'!$A:$C,3,FALSE),"")</f>
        <v>27</v>
      </c>
    </row>
    <row r="28" spans="1:28" x14ac:dyDescent="0.25">
      <c r="A28" s="42">
        <f ca="1">IFERROR(Table2[[#This Row],[Position]],"")</f>
        <v>27</v>
      </c>
      <c r="B28" s="18" t="s">
        <v>64</v>
      </c>
      <c r="C28" s="81">
        <f ca="1">IF(Table2[[#This Row],[Total races]]=0,0,(RANK(E28,$E$3:$E$69)+COUNTIF(E28:$E$59,E28)-1))</f>
        <v>27</v>
      </c>
      <c r="D28" s="5">
        <f>COUNTIF(F28:AB28,"&gt;=0")</f>
        <v>3</v>
      </c>
      <c r="E28" s="5">
        <f t="array" aca="1" ref="E28" ca="1">IF(Table2[[#This Row],[Total races]]&lt;11,SUM(Table2[[#This Row],[Derby 5k]:[Shepshed 7]]),SUM(LARGE(F28:AB28,ROW(INDIRECT("1:10")))))+Table2[[#This Row],[Total races]]*3</f>
        <v>99</v>
      </c>
      <c r="F28" s="5" t="str">
        <f>IFERROR(VLOOKUP(B28,'Derby 5K'!$B$4:$K$15,10,FALSE),"")</f>
        <v/>
      </c>
      <c r="G28" s="5" t="str">
        <f>IFERROR(VLOOKUP(B28,'Grace Dieu XC'!$A:$C,3,FALSE),"")</f>
        <v/>
      </c>
      <c r="H28" s="5" t="str">
        <f>IFERROR(VLOOKUP(B28,'Bosworth XC'!$A:$C,3,FALSE),"")</f>
        <v/>
      </c>
      <c r="I28" s="5" t="str">
        <f>IFERROR(VLOOKUP($B28,'Kibworth 6'!$A:$C,3,FALSE),"")</f>
        <v/>
      </c>
      <c r="J28" s="5" t="str">
        <f>IFERROR(VLOOKUP($B28,'Ivanhoe 20'!$A:$C,3,FALSE),"")</f>
        <v/>
      </c>
      <c r="K28" s="5">
        <f>IFERROR(VLOOKUP($B28,'Run In Forest'!$A:$C,3,FALSE),"")</f>
        <v>30</v>
      </c>
      <c r="L28" s="5" t="str">
        <f>IFERROR(VLOOKUP($B28,'Stilton 7'!$A:$C,3,FALSE),"")</f>
        <v/>
      </c>
      <c r="M28" s="5" t="str">
        <f>IFERROR(VLOOKUP($B28,'Uttoxeter HM'!$A:$C,3,FALSE),"")</f>
        <v/>
      </c>
      <c r="N28" s="5" t="str">
        <f>IFERROR(VLOOKUP($B28,'Bosworth HM'!$A:$C,3,FALSE),"")</f>
        <v/>
      </c>
      <c r="O28" s="5" t="str">
        <f>IFERROR(VLOOKUP($B28,'West End 8'!$A:$C,3,FALSE),"")</f>
        <v/>
      </c>
      <c r="P28" s="5" t="str">
        <f>IFERROR(VLOOKUP($B28,'Swithland 6'!$A:$C,3,FALSE),"")</f>
        <v/>
      </c>
      <c r="Q28" s="5">
        <f>IFERROR(VLOOKUP($B28,'Washlands Relays'!$A:$C,3,FALSE),"")</f>
        <v>30</v>
      </c>
      <c r="R28" s="5">
        <f>IFERROR(VLOOKUP($B28,'Tara Kinder 10K'!$A:$C,3,FALSE),"")</f>
        <v>30</v>
      </c>
      <c r="S28" s="5" t="str">
        <f>IFERROR(VLOOKUP($B28,'Worthington 6'!$A:$C,3,FALSE),"")</f>
        <v/>
      </c>
      <c r="T28" s="5" t="str">
        <f>IFERROR(VLOOKUP($B28,'Joy Cann 5'!$A:$C,3,FALSE),"")</f>
        <v/>
      </c>
      <c r="U28" s="5" t="str">
        <f>IFERROR(VLOOKUP($B28,'Burton 10k'!$A:$C,3,FALSE),"")</f>
        <v/>
      </c>
      <c r="V28" s="5" t="str">
        <f>IFERROR(VLOOKUP($B28,'Rotherby 8'!$A:$C,3,FALSE),"")</f>
        <v/>
      </c>
      <c r="W28" s="5" t="str">
        <f>IFERROR(VLOOKUP($B28,'Lichfield 10k'!$A:$C,3,FALSE),"")</f>
        <v/>
      </c>
      <c r="X28" s="5" t="str">
        <f>IFERROR(VLOOKUP($B28,'Adrian Smith'!$A:$C,3,FALSE),"")</f>
        <v/>
      </c>
      <c r="Y28" s="5" t="str">
        <f>IFERROR(VLOOKUP($B28,'Tamworth 5'!$A:$C,3,FALSE),"")</f>
        <v/>
      </c>
      <c r="Z28" s="31" t="str">
        <f>IFERROR(VLOOKUP($B28,'Bagworth XC'!$A:$C,3,FALSE),"")</f>
        <v/>
      </c>
      <c r="AA28" s="5" t="str">
        <f>IFERROR(VLOOKUP($B28,'Markfield 10k'!$A:$C,3,FALSE),"")</f>
        <v/>
      </c>
      <c r="AB28" s="5" t="str">
        <f>IFERROR(VLOOKUP($B28,'Shepshed 7'!$A:$C,3,FALSE),"")</f>
        <v/>
      </c>
    </row>
    <row r="29" spans="1:28" x14ac:dyDescent="0.25">
      <c r="A29" s="42">
        <f ca="1">IFERROR(Table2[[#This Row],[Position]],"")</f>
        <v>26</v>
      </c>
      <c r="B29" s="18" t="s">
        <v>72</v>
      </c>
      <c r="C29" s="81">
        <f ca="1">IF(Table2[[#This Row],[Total races]]=0,0,(RANK(E29,$E$3:$E$69)+COUNTIF(E29:$E$67,E29)-1))</f>
        <v>26</v>
      </c>
      <c r="D29" s="5">
        <f>COUNTIF(F29:AB29,"&gt;=0")</f>
        <v>4</v>
      </c>
      <c r="E29" s="5">
        <f t="array" aca="1" ref="E29" ca="1">IF(Table2[[#This Row],[Total races]]&lt;11,SUM(Table2[[#This Row],[Derby 5k]:[Shepshed 7]]),SUM(LARGE(F29:AB29,ROW(INDIRECT("1:10")))))+Table2[[#This Row],[Total races]]*3</f>
        <v>99</v>
      </c>
      <c r="F29" s="5" t="str">
        <f>IFERROR(VLOOKUP(B29,'Derby 5K'!$B$4:$K$15,10,FALSE),"")</f>
        <v/>
      </c>
      <c r="G29" s="5" t="str">
        <f>IFERROR(VLOOKUP(B29,'Grace Dieu XC'!$A:$C,3,FALSE),"")</f>
        <v/>
      </c>
      <c r="H29" s="5" t="str">
        <f>IFERROR(VLOOKUP(B29,'Bosworth XC'!$A:$C,3,FALSE),"")</f>
        <v/>
      </c>
      <c r="I29" s="5" t="str">
        <f>IFERROR(VLOOKUP($B29,'Kibworth 6'!$A:$C,3,FALSE),"")</f>
        <v/>
      </c>
      <c r="J29" s="5" t="str">
        <f>IFERROR(VLOOKUP($B29,'Ivanhoe 20'!$A:$C,3,FALSE),"")</f>
        <v/>
      </c>
      <c r="K29" s="5" t="str">
        <f>IFERROR(VLOOKUP($B29,'Run In Forest'!$A:$C,3,FALSE),"")</f>
        <v/>
      </c>
      <c r="L29" s="5" t="str">
        <f>IFERROR(VLOOKUP($B29,'Stilton 7'!$A:$C,3,FALSE),"")</f>
        <v/>
      </c>
      <c r="M29" s="5" t="str">
        <f>IFERROR(VLOOKUP($B29,'Uttoxeter HM'!$A:$C,3,FALSE),"")</f>
        <v/>
      </c>
      <c r="N29" s="5" t="str">
        <f>IFERROR(VLOOKUP($B29,'Bosworth HM'!$A:$C,3,FALSE),"")</f>
        <v/>
      </c>
      <c r="O29" s="5">
        <f>IFERROR(VLOOKUP($B29,'West End 8'!$A:$C,3,FALSE),"")</f>
        <v>26</v>
      </c>
      <c r="P29" s="5" t="str">
        <f>IFERROR(VLOOKUP($B29,'Swithland 6'!$A:$C,3,FALSE),"")</f>
        <v/>
      </c>
      <c r="Q29" s="5">
        <f>IFERROR(VLOOKUP($B29,'Washlands Relays'!$A:$C,3,FALSE),"")</f>
        <v>13</v>
      </c>
      <c r="R29" s="5" t="str">
        <f>IFERROR(VLOOKUP($B29,'Tara Kinder 10K'!$A:$C,3,FALSE),"")</f>
        <v/>
      </c>
      <c r="S29" s="5" t="str">
        <f>IFERROR(VLOOKUP($B29,'Worthington 6'!$A:$C,3,FALSE),"")</f>
        <v/>
      </c>
      <c r="T29" s="5">
        <f>IFERROR(VLOOKUP($B29,'Joy Cann 5'!$A:$C,3,FALSE),"")</f>
        <v>26</v>
      </c>
      <c r="U29" s="5" t="str">
        <f>IFERROR(VLOOKUP($B29,'Burton 10k'!$A:$C,3,FALSE),"")</f>
        <v/>
      </c>
      <c r="V29" s="5" t="str">
        <f>IFERROR(VLOOKUP($B29,'Rotherby 8'!$A:$C,3,FALSE),"")</f>
        <v/>
      </c>
      <c r="W29" s="5" t="str">
        <f>IFERROR(VLOOKUP($B29,'Lichfield 10k'!$A:$C,3,FALSE),"")</f>
        <v/>
      </c>
      <c r="X29" s="5" t="str">
        <f>IFERROR(VLOOKUP($B29,'Adrian Smith'!$A:$C,3,FALSE),"")</f>
        <v/>
      </c>
      <c r="Y29" s="5" t="str">
        <f>IFERROR(VLOOKUP($B29,'Tamworth 5'!$A:$C,3,FALSE),"")</f>
        <v/>
      </c>
      <c r="Z29" s="31">
        <f>IFERROR(VLOOKUP($B29,'Bagworth XC'!$A:$C,3,FALSE),"")</f>
        <v>22</v>
      </c>
      <c r="AA29" s="5" t="str">
        <f>IFERROR(VLOOKUP($B29,'Markfield 10k'!$A:$C,3,FALSE),"")</f>
        <v/>
      </c>
      <c r="AB29" s="5" t="str">
        <f>IFERROR(VLOOKUP($B29,'Shepshed 7'!$A:$C,3,FALSE),"")</f>
        <v/>
      </c>
    </row>
    <row r="30" spans="1:28" x14ac:dyDescent="0.25">
      <c r="A30" s="42">
        <f ca="1">IFERROR(Table2[[#This Row],[Position]],"")</f>
        <v>29</v>
      </c>
      <c r="B30" s="18" t="s">
        <v>10</v>
      </c>
      <c r="C30" s="81">
        <f ca="1">IF(Table2[[#This Row],[Total races]]=0,0,(RANK(E30,$E$3:$E$69)+COUNTIF(E30:$E$67,E30)-1))</f>
        <v>29</v>
      </c>
      <c r="D30" s="5">
        <f>COUNTIF(F30:AB30,"&gt;=0")</f>
        <v>6</v>
      </c>
      <c r="E30" s="5">
        <f t="array" aca="1" ref="E30" ca="1">IF(Table2[[#This Row],[Total races]]&lt;11,SUM(Table2[[#This Row],[Derby 5k]:[Shepshed 7]]),SUM(LARGE(F30:AB30,ROW(INDIRECT("1:10")))))+Table2[[#This Row],[Total races]]*3</f>
        <v>98</v>
      </c>
      <c r="F30" s="5" t="str">
        <f>IFERROR(VLOOKUP(B30,'Derby 5K'!$B$4:$K$15,10,FALSE),"")</f>
        <v/>
      </c>
      <c r="G30" s="5">
        <f>IFERROR(VLOOKUP(B30,'Grace Dieu XC'!$A:$C,3,FALSE),"")</f>
        <v>19</v>
      </c>
      <c r="H30" s="5">
        <f>IFERROR(VLOOKUP(B30,'Bosworth XC'!$A:$C,3,FALSE),"")</f>
        <v>21</v>
      </c>
      <c r="I30" s="5" t="str">
        <f>IFERROR(VLOOKUP($B30,'Kibworth 6'!$A:$C,3,FALSE),"")</f>
        <v/>
      </c>
      <c r="J30" s="5" t="str">
        <f>IFERROR(VLOOKUP($B30,'Ivanhoe 20'!$A:$C,3,FALSE),"")</f>
        <v/>
      </c>
      <c r="K30" s="5" t="str">
        <f>IFERROR(VLOOKUP($B30,'Run In Forest'!$A:$C,3,FALSE),"")</f>
        <v/>
      </c>
      <c r="L30" s="5" t="str">
        <f>IFERROR(VLOOKUP($B30,'Stilton 7'!$A:$C,3,FALSE),"")</f>
        <v/>
      </c>
      <c r="M30" s="5" t="str">
        <f>IFERROR(VLOOKUP($B30,'Uttoxeter HM'!$A:$C,3,FALSE),"")</f>
        <v/>
      </c>
      <c r="N30" s="5" t="str">
        <f>IFERROR(VLOOKUP($B30,'Bosworth HM'!$A:$C,3,FALSE),"")</f>
        <v/>
      </c>
      <c r="O30" s="5" t="str">
        <f>IFERROR(VLOOKUP($B30,'West End 8'!$A:$C,3,FALSE),"")</f>
        <v/>
      </c>
      <c r="P30" s="5" t="str">
        <f>IFERROR(VLOOKUP($B30,'Swithland 6'!$A:$C,3,FALSE),"")</f>
        <v/>
      </c>
      <c r="Q30" s="5">
        <f>IFERROR(VLOOKUP($B30,'Washlands Relays'!$A:$C,3,FALSE),"")</f>
        <v>0</v>
      </c>
      <c r="R30" s="5" t="str">
        <f>IFERROR(VLOOKUP($B30,'Tara Kinder 10K'!$A:$C,3,FALSE),"")</f>
        <v/>
      </c>
      <c r="S30" s="5">
        <f>IFERROR(VLOOKUP($B30,'Worthington 6'!$A:$C,3,FALSE),"")</f>
        <v>11</v>
      </c>
      <c r="T30" s="5" t="str">
        <f>IFERROR(VLOOKUP($B30,'Joy Cann 5'!$A:$C,3,FALSE),"")</f>
        <v/>
      </c>
      <c r="U30" s="5" t="str">
        <f>IFERROR(VLOOKUP($B30,'Burton 10k'!$A:$C,3,FALSE),"")</f>
        <v/>
      </c>
      <c r="V30" s="5" t="str">
        <f>IFERROR(VLOOKUP($B30,'Rotherby 8'!$A:$C,3,FALSE),"")</f>
        <v/>
      </c>
      <c r="W30" s="5" t="str">
        <f>IFERROR(VLOOKUP($B30,'Lichfield 10k'!$A:$C,3,FALSE),"")</f>
        <v/>
      </c>
      <c r="X30" s="5">
        <f>IFERROR(VLOOKUP($B30,'Adrian Smith'!$A:$C,3,FALSE),"")</f>
        <v>13</v>
      </c>
      <c r="Y30" s="5" t="str">
        <f>IFERROR(VLOOKUP($B30,'Tamworth 5'!$A:$C,3,FALSE),"")</f>
        <v/>
      </c>
      <c r="Z30" s="31">
        <f>IFERROR(VLOOKUP($B30,'Bagworth XC'!$A:$C,3,FALSE),"")</f>
        <v>16</v>
      </c>
      <c r="AA30" s="5" t="str">
        <f>IFERROR(VLOOKUP($B30,'Markfield 10k'!$A:$C,3,FALSE),"")</f>
        <v/>
      </c>
      <c r="AB30" s="5" t="str">
        <f>IFERROR(VLOOKUP($B30,'Shepshed 7'!$A:$C,3,FALSE),"")</f>
        <v/>
      </c>
    </row>
    <row r="31" spans="1:28" x14ac:dyDescent="0.25">
      <c r="A31" s="42">
        <f ca="1">IFERROR(Table2[[#This Row],[Position]],"")</f>
        <v>28</v>
      </c>
      <c r="B31" s="18" t="s">
        <v>78</v>
      </c>
      <c r="C31" s="81">
        <f ca="1">IF(Table2[[#This Row],[Total races]]=0,0,(RANK(E31,$E$3:$E$69)+COUNTIF(E31:$E$67,E31)-1))</f>
        <v>28</v>
      </c>
      <c r="D31" s="5">
        <f>COUNTIF(F31:AB31,"&gt;=0")</f>
        <v>5</v>
      </c>
      <c r="E31" s="5">
        <f t="array" aca="1" ref="E31" ca="1">IF(Table2[[#This Row],[Total races]]&lt;11,SUM(Table2[[#This Row],[Derby 5k]:[Shepshed 7]]),SUM(LARGE(F31:AB31,ROW(INDIRECT("1:10")))))+Table2[[#This Row],[Total races]]*3</f>
        <v>98</v>
      </c>
      <c r="F31" s="5" t="str">
        <f>IFERROR(VLOOKUP(B31,'Derby 5K'!$B$4:$K$15,10,FALSE),"")</f>
        <v/>
      </c>
      <c r="G31" s="5" t="str">
        <f>IFERROR(VLOOKUP(B31,'Grace Dieu XC'!$A:$C,3,FALSE),"")</f>
        <v/>
      </c>
      <c r="H31" s="5" t="str">
        <f>IFERROR(VLOOKUP(B31,'Bosworth XC'!$A:$C,3,FALSE),"")</f>
        <v/>
      </c>
      <c r="I31" s="5" t="str">
        <f>IFERROR(VLOOKUP($B31,'Kibworth 6'!$A:$C,3,FALSE),"")</f>
        <v/>
      </c>
      <c r="J31" s="5">
        <f>IFERROR(VLOOKUP($B31,'Ivanhoe 20'!$A:$C,3,FALSE),"")</f>
        <v>18</v>
      </c>
      <c r="K31" s="5" t="str">
        <f>IFERROR(VLOOKUP($B31,'Run In Forest'!$A:$C,3,FALSE),"")</f>
        <v/>
      </c>
      <c r="L31" s="5" t="str">
        <f>IFERROR(VLOOKUP($B31,'Stilton 7'!$A:$C,3,FALSE),"")</f>
        <v/>
      </c>
      <c r="M31" s="5" t="str">
        <f>IFERROR(VLOOKUP($B31,'Uttoxeter HM'!$A:$C,3,FALSE),"")</f>
        <v/>
      </c>
      <c r="N31" s="5">
        <f>IFERROR(VLOOKUP($B31,'Bosworth HM'!$A:$C,3,FALSE),"")</f>
        <v>17</v>
      </c>
      <c r="O31" s="5">
        <f>IFERROR(VLOOKUP($B31,'West End 8'!$A:$C,3,FALSE),"")</f>
        <v>15</v>
      </c>
      <c r="P31" s="5" t="str">
        <f>IFERROR(VLOOKUP($B31,'Swithland 6'!$A:$C,3,FALSE),"")</f>
        <v/>
      </c>
      <c r="Q31" s="5" t="str">
        <f>IFERROR(VLOOKUP($B31,'Washlands Relays'!$A:$C,3,FALSE),"")</f>
        <v/>
      </c>
      <c r="R31" s="5" t="str">
        <f>IFERROR(VLOOKUP($B31,'Tara Kinder 10K'!$A:$C,3,FALSE),"")</f>
        <v/>
      </c>
      <c r="S31" s="5">
        <f>IFERROR(VLOOKUP($B31,'Worthington 6'!$A:$C,3,FALSE),"")</f>
        <v>10</v>
      </c>
      <c r="T31" s="5" t="str">
        <f>IFERROR(VLOOKUP($B31,'Joy Cann 5'!$A:$C,3,FALSE),"")</f>
        <v/>
      </c>
      <c r="U31" s="5" t="str">
        <f>IFERROR(VLOOKUP($B31,'Burton 10k'!$A:$C,3,FALSE),"")</f>
        <v/>
      </c>
      <c r="V31" s="5" t="str">
        <f>IFERROR(VLOOKUP($B31,'Rotherby 8'!$A:$C,3,FALSE),"")</f>
        <v/>
      </c>
      <c r="W31" s="5" t="str">
        <f>IFERROR(VLOOKUP($B31,'Lichfield 10k'!$A:$C,3,FALSE),"")</f>
        <v/>
      </c>
      <c r="X31" s="5" t="str">
        <f>IFERROR(VLOOKUP($B31,'Adrian Smith'!$A:$C,3,FALSE),"")</f>
        <v/>
      </c>
      <c r="Y31" s="5" t="str">
        <f>IFERROR(VLOOKUP($B31,'Tamworth 5'!$A:$C,3,FALSE),"")</f>
        <v/>
      </c>
      <c r="Z31" s="31" t="str">
        <f>IFERROR(VLOOKUP($B31,'Bagworth XC'!$A:$C,3,FALSE),"")</f>
        <v/>
      </c>
      <c r="AA31" s="5" t="str">
        <f>IFERROR(VLOOKUP($B31,'Markfield 10k'!$A:$C,3,FALSE),"")</f>
        <v/>
      </c>
      <c r="AB31" s="5">
        <f>IFERROR(VLOOKUP($B31,'Shepshed 7'!$A:$C,3,FALSE),"")</f>
        <v>23</v>
      </c>
    </row>
    <row r="32" spans="1:28" x14ac:dyDescent="0.25">
      <c r="A32" s="42">
        <f ca="1">IFERROR(Table2[[#This Row],[Position]],"")</f>
        <v>30</v>
      </c>
      <c r="B32" s="18" t="s">
        <v>40</v>
      </c>
      <c r="C32" s="81">
        <f ca="1">IF(Table2[[#This Row],[Total races]]=0,0,(RANK(E32,$E$3:$E$69)+COUNTIF(E32:$E$59,E32)-1))</f>
        <v>30</v>
      </c>
      <c r="D32" s="5">
        <f>COUNTIF(F32:AB32,"&gt;=0")</f>
        <v>4</v>
      </c>
      <c r="E32" s="5">
        <f t="array" aca="1" ref="E32" ca="1">IF(Table2[[#This Row],[Total races]]&lt;11,SUM(Table2[[#This Row],[Derby 5k]:[Shepshed 7]]),SUM(LARGE(F32:AB32,ROW(INDIRECT("1:10")))))+Table2[[#This Row],[Total races]]*3</f>
        <v>90</v>
      </c>
      <c r="F32" s="5" t="str">
        <f>IFERROR(VLOOKUP(B32,'Derby 5K'!$B$4:$K$15,10,FALSE),"")</f>
        <v/>
      </c>
      <c r="G32" s="5" t="str">
        <f>IFERROR(VLOOKUP(B32,'Grace Dieu XC'!$A:$C,3,FALSE),"")</f>
        <v/>
      </c>
      <c r="H32" s="5" t="str">
        <f>IFERROR(VLOOKUP(B32,'Bosworth XC'!$A:$C,3,FALSE),"")</f>
        <v/>
      </c>
      <c r="I32" s="5" t="str">
        <f>IFERROR(VLOOKUP($B32,'Kibworth 6'!$A:$C,3,FALSE),"")</f>
        <v/>
      </c>
      <c r="J32" s="5">
        <f>IFERROR(VLOOKUP($B32,'Ivanhoe 20'!$A:$C,3,FALSE),"")</f>
        <v>21</v>
      </c>
      <c r="K32" s="5" t="str">
        <f>IFERROR(VLOOKUP($B32,'Run In Forest'!$A:$C,3,FALSE),"")</f>
        <v/>
      </c>
      <c r="L32" s="5" t="str">
        <f>IFERROR(VLOOKUP($B32,'Stilton 7'!$A:$C,3,FALSE),"")</f>
        <v/>
      </c>
      <c r="M32" s="5" t="str">
        <f>IFERROR(VLOOKUP($B32,'Uttoxeter HM'!$A:$C,3,FALSE),"")</f>
        <v/>
      </c>
      <c r="N32" s="5">
        <f>IFERROR(VLOOKUP($B32,'Bosworth HM'!$A:$C,3,FALSE),"")</f>
        <v>20</v>
      </c>
      <c r="O32" s="5">
        <f>IFERROR(VLOOKUP($B32,'West End 8'!$A:$C,3,FALSE),"")</f>
        <v>22</v>
      </c>
      <c r="P32" s="5" t="str">
        <f>IFERROR(VLOOKUP($B32,'Swithland 6'!$A:$C,3,FALSE),"")</f>
        <v/>
      </c>
      <c r="Q32" s="5" t="str">
        <f>IFERROR(VLOOKUP($B32,'Washlands Relays'!$A:$C,3,FALSE),"")</f>
        <v/>
      </c>
      <c r="R32" s="5" t="str">
        <f>IFERROR(VLOOKUP($B32,'Tara Kinder 10K'!$A:$C,3,FALSE),"")</f>
        <v/>
      </c>
      <c r="S32" s="5">
        <f>IFERROR(VLOOKUP($B32,'Worthington 6'!$A:$C,3,FALSE),"")</f>
        <v>15</v>
      </c>
      <c r="T32" s="5" t="str">
        <f>IFERROR(VLOOKUP($B32,'Joy Cann 5'!$A:$C,3,FALSE),"")</f>
        <v/>
      </c>
      <c r="U32" s="5" t="str">
        <f>IFERROR(VLOOKUP($B32,'Burton 10k'!$A:$C,3,FALSE),"")</f>
        <v/>
      </c>
      <c r="V32" s="5" t="str">
        <f>IFERROR(VLOOKUP($B32,'Rotherby 8'!$A:$C,3,FALSE),"")</f>
        <v/>
      </c>
      <c r="W32" s="5" t="str">
        <f>IFERROR(VLOOKUP($B32,'Lichfield 10k'!$A:$C,3,FALSE),"")</f>
        <v/>
      </c>
      <c r="X32" s="5" t="str">
        <f>IFERROR(VLOOKUP($B32,'Adrian Smith'!$A:$C,3,FALSE),"")</f>
        <v/>
      </c>
      <c r="Y32" s="5" t="str">
        <f>IFERROR(VLOOKUP($B32,'Tamworth 5'!$A:$C,3,FALSE),"")</f>
        <v/>
      </c>
      <c r="Z32" s="31" t="str">
        <f>IFERROR(VLOOKUP($B32,'Bagworth XC'!$A:$C,3,FALSE),"")</f>
        <v/>
      </c>
      <c r="AA32" s="5" t="str">
        <f>IFERROR(VLOOKUP($B32,'Markfield 10k'!$A:$C,3,FALSE),"")</f>
        <v/>
      </c>
      <c r="AB32" s="5" t="str">
        <f>IFERROR(VLOOKUP($B32,'Shepshed 7'!$A:$C,3,FALSE),"")</f>
        <v/>
      </c>
    </row>
    <row r="33" spans="1:28" x14ac:dyDescent="0.25">
      <c r="A33" s="42">
        <f ca="1">IFERROR(Table2[[#This Row],[Position]],"")</f>
        <v>31</v>
      </c>
      <c r="B33" s="18" t="s">
        <v>114</v>
      </c>
      <c r="C33" s="81">
        <f ca="1">IF(Table2[[#This Row],[Total races]]=0,0,(RANK(E33,$E$3:$E$69)+COUNTIF(E33:$E$67,E33)-1))</f>
        <v>31</v>
      </c>
      <c r="D33" s="5">
        <f>COUNTIF(F33:AB33,"&gt;=0")</f>
        <v>4</v>
      </c>
      <c r="E33" s="5">
        <f t="array" aca="1" ref="E33" ca="1">IF(Table2[[#This Row],[Total races]]&lt;11,SUM(Table2[[#This Row],[Derby 5k]:[Shepshed 7]]),SUM(LARGE(F33:AB33,ROW(INDIRECT("1:10")))))+Table2[[#This Row],[Total races]]*3</f>
        <v>87</v>
      </c>
      <c r="F33" s="5" t="str">
        <f>IFERROR(VLOOKUP(B33,'Derby 5K'!$B$4:$K$15,10,FALSE),"")</f>
        <v/>
      </c>
      <c r="G33" s="5">
        <f>IFERROR(VLOOKUP(B33,'Grace Dieu XC'!$A:$C,3,FALSE),"")</f>
        <v>20</v>
      </c>
      <c r="H33" s="5">
        <f>IFERROR(VLOOKUP(B33,'Bosworth XC'!$A:$C,3,FALSE),"")</f>
        <v>22</v>
      </c>
      <c r="I33" s="5" t="str">
        <f>IFERROR(VLOOKUP($B33,'Kibworth 6'!$A:$C,3,FALSE),"")</f>
        <v/>
      </c>
      <c r="J33" s="5" t="str">
        <f>IFERROR(VLOOKUP($B33,'Ivanhoe 20'!$A:$C,3,FALSE),"")</f>
        <v/>
      </c>
      <c r="K33" s="5" t="str">
        <f>IFERROR(VLOOKUP($B33,'Run In Forest'!$A:$C,3,FALSE),"")</f>
        <v/>
      </c>
      <c r="L33" s="5" t="str">
        <f>IFERROR(VLOOKUP($B33,'Stilton 7'!$A:$C,3,FALSE),"")</f>
        <v/>
      </c>
      <c r="M33" s="5" t="str">
        <f>IFERROR(VLOOKUP($B33,'Uttoxeter HM'!$A:$C,3,FALSE),"")</f>
        <v/>
      </c>
      <c r="N33" s="5" t="str">
        <f>IFERROR(VLOOKUP($B33,'Bosworth HM'!$A:$C,3,FALSE),"")</f>
        <v/>
      </c>
      <c r="O33" s="5" t="str">
        <f>IFERROR(VLOOKUP($B33,'West End 8'!$A:$C,3,FALSE),"")</f>
        <v/>
      </c>
      <c r="P33" s="5" t="str">
        <f>IFERROR(VLOOKUP($B33,'Swithland 6'!$A:$C,3,FALSE),"")</f>
        <v/>
      </c>
      <c r="Q33" s="5" t="str">
        <f>IFERROR(VLOOKUP($B33,'Washlands Relays'!$A:$C,3,FALSE),"")</f>
        <v/>
      </c>
      <c r="R33" s="5" t="str">
        <f>IFERROR(VLOOKUP($B33,'Tara Kinder 10K'!$A:$C,3,FALSE),"")</f>
        <v/>
      </c>
      <c r="S33" s="5" t="str">
        <f>IFERROR(VLOOKUP($B33,'Worthington 6'!$A:$C,3,FALSE),"")</f>
        <v/>
      </c>
      <c r="T33" s="5" t="str">
        <f>IFERROR(VLOOKUP($B33,'Joy Cann 5'!$A:$C,3,FALSE),"")</f>
        <v/>
      </c>
      <c r="U33" s="5" t="str">
        <f>IFERROR(VLOOKUP($B33,'Burton 10k'!$A:$C,3,FALSE),"")</f>
        <v/>
      </c>
      <c r="V33" s="5" t="str">
        <f>IFERROR(VLOOKUP($B33,'Rotherby 8'!$A:$C,3,FALSE),"")</f>
        <v/>
      </c>
      <c r="W33" s="5" t="str">
        <f>IFERROR(VLOOKUP($B33,'Lichfield 10k'!$A:$C,3,FALSE),"")</f>
        <v/>
      </c>
      <c r="X33" s="5" t="str">
        <f>IFERROR(VLOOKUP($B33,'Adrian Smith'!$A:$C,3,FALSE),"")</f>
        <v/>
      </c>
      <c r="Y33" s="5" t="str">
        <f>IFERROR(VLOOKUP($B33,'Tamworth 5'!$A:$C,3,FALSE),"")</f>
        <v/>
      </c>
      <c r="Z33" s="31">
        <f>IFERROR(VLOOKUP($B33,'Bagworth XC'!$A:$C,3,FALSE),"")</f>
        <v>11</v>
      </c>
      <c r="AA33" s="5" t="str">
        <f>IFERROR(VLOOKUP($B33,'Markfield 10k'!$A:$C,3,FALSE),"")</f>
        <v/>
      </c>
      <c r="AB33" s="5">
        <f>IFERROR(VLOOKUP($B33,'Shepshed 7'!$A:$C,3,FALSE),"")</f>
        <v>22</v>
      </c>
    </row>
    <row r="34" spans="1:28" x14ac:dyDescent="0.25">
      <c r="A34" s="42">
        <f ca="1">IFERROR(Table2[[#This Row],[Position]],"")</f>
        <v>32</v>
      </c>
      <c r="B34" s="18" t="s">
        <v>68</v>
      </c>
      <c r="C34" s="81">
        <f ca="1">IF(Table2[[#This Row],[Total races]]=0,0,(RANK(E34,$E$3:$E$69)+COUNTIF(E34:$E$67,E34)-1))</f>
        <v>32</v>
      </c>
      <c r="D34" s="5">
        <f>COUNTIF(F34:AB34,"&gt;=0")</f>
        <v>3</v>
      </c>
      <c r="E34" s="5">
        <f t="array" aca="1" ref="E34" ca="1">IF(Table2[[#This Row],[Total races]]&lt;11,SUM(Table2[[#This Row],[Derby 5k]:[Shepshed 7]]),SUM(LARGE(F34:AB34,ROW(INDIRECT("1:10")))))+Table2[[#This Row],[Total races]]*3</f>
        <v>78</v>
      </c>
      <c r="F34" s="5" t="str">
        <f>IFERROR(VLOOKUP(B34,'Derby 5K'!$B$4:$K$15,10,FALSE),"")</f>
        <v/>
      </c>
      <c r="G34" s="5" t="str">
        <f>IFERROR(VLOOKUP(B34,'Grace Dieu XC'!$A:$C,3,FALSE),"")</f>
        <v/>
      </c>
      <c r="H34" s="5" t="str">
        <f>IFERROR(VLOOKUP(B34,'Bosworth XC'!$A:$C,3,FALSE),"")</f>
        <v/>
      </c>
      <c r="I34" s="5" t="str">
        <f>IFERROR(VLOOKUP($B34,'Kibworth 6'!$A:$C,3,FALSE),"")</f>
        <v/>
      </c>
      <c r="J34" s="5">
        <f>IFERROR(VLOOKUP($B34,'Ivanhoe 20'!$A:$C,3,FALSE),"")</f>
        <v>28</v>
      </c>
      <c r="K34" s="5" t="str">
        <f>IFERROR(VLOOKUP($B34,'Run In Forest'!$A:$C,3,FALSE),"")</f>
        <v/>
      </c>
      <c r="L34" s="5" t="str">
        <f>IFERROR(VLOOKUP($B34,'Stilton 7'!$A:$C,3,FALSE),"")</f>
        <v/>
      </c>
      <c r="M34" s="5" t="str">
        <f>IFERROR(VLOOKUP($B34,'Uttoxeter HM'!$A:$C,3,FALSE),"")</f>
        <v/>
      </c>
      <c r="N34" s="5" t="str">
        <f>IFERROR(VLOOKUP($B34,'Bosworth HM'!$A:$C,3,FALSE),"")</f>
        <v/>
      </c>
      <c r="O34" s="5" t="str">
        <f>IFERROR(VLOOKUP($B34,'West End 8'!$A:$C,3,FALSE),"")</f>
        <v/>
      </c>
      <c r="P34" s="5" t="str">
        <f>IFERROR(VLOOKUP($B34,'Swithland 6'!$A:$C,3,FALSE),"")</f>
        <v/>
      </c>
      <c r="Q34" s="5">
        <f>IFERROR(VLOOKUP($B34,'Washlands Relays'!$A:$C,3,FALSE),"")</f>
        <v>14</v>
      </c>
      <c r="R34" s="5" t="str">
        <f>IFERROR(VLOOKUP($B34,'Tara Kinder 10K'!$A:$C,3,FALSE),"")</f>
        <v/>
      </c>
      <c r="S34" s="5">
        <f>IFERROR(VLOOKUP($B34,'Worthington 6'!$A:$C,3,FALSE),"")</f>
        <v>27</v>
      </c>
      <c r="T34" s="5" t="str">
        <f>IFERROR(VLOOKUP($B34,'Joy Cann 5'!$A:$C,3,FALSE),"")</f>
        <v/>
      </c>
      <c r="U34" s="5" t="str">
        <f>IFERROR(VLOOKUP($B34,'Burton 10k'!$A:$C,3,FALSE),"")</f>
        <v/>
      </c>
      <c r="V34" s="5" t="str">
        <f>IFERROR(VLOOKUP($B34,'Rotherby 8'!$A:$C,3,FALSE),"")</f>
        <v/>
      </c>
      <c r="W34" s="5" t="str">
        <f>IFERROR(VLOOKUP($B34,'Lichfield 10k'!$A:$C,3,FALSE),"")</f>
        <v/>
      </c>
      <c r="X34" s="5" t="str">
        <f>IFERROR(VLOOKUP($B34,'Adrian Smith'!$A:$C,3,FALSE),"")</f>
        <v/>
      </c>
      <c r="Y34" s="5" t="str">
        <f>IFERROR(VLOOKUP($B34,'Tamworth 5'!$A:$C,3,FALSE),"")</f>
        <v/>
      </c>
      <c r="Z34" s="31" t="str">
        <f>IFERROR(VLOOKUP($B34,'Bagworth XC'!$A:$C,3,FALSE),"")</f>
        <v/>
      </c>
      <c r="AA34" s="5" t="str">
        <f>IFERROR(VLOOKUP($B34,'Markfield 10k'!$A:$C,3,FALSE),"")</f>
        <v/>
      </c>
      <c r="AB34" s="5" t="str">
        <f>IFERROR(VLOOKUP($B34,'Shepshed 7'!$A:$C,3,FALSE),"")</f>
        <v/>
      </c>
    </row>
    <row r="35" spans="1:28" x14ac:dyDescent="0.25">
      <c r="A35" s="42">
        <f ca="1">IFERROR(Table2[[#This Row],[Position]],"")</f>
        <v>33</v>
      </c>
      <c r="B35" s="18" t="s">
        <v>160</v>
      </c>
      <c r="C35" s="81">
        <f ca="1">IF(Table2[[#This Row],[Total races]]=0,0,(RANK(E35,$E$3:$E$69)+COUNTIF(E35:$E$67,E35)-1))</f>
        <v>33</v>
      </c>
      <c r="D35" s="5">
        <f>COUNTIF(F35:AB35,"&gt;=0")</f>
        <v>4</v>
      </c>
      <c r="E35" s="5">
        <f t="array" aca="1" ref="E35" ca="1">IF(Table2[[#This Row],[Total races]]&lt;11,SUM(Table2[[#This Row],[Derby 5k]:[Shepshed 7]]),SUM(LARGE(F35:AB35,ROW(INDIRECT("1:10")))))+Table2[[#This Row],[Total races]]*3</f>
        <v>76</v>
      </c>
      <c r="F35" s="5" t="str">
        <f>IFERROR(VLOOKUP(B35,'Derby 5K'!$B$4:$K$15,10,FALSE),"")</f>
        <v/>
      </c>
      <c r="G35" s="5">
        <f>IFERROR(VLOOKUP(B35,'Grace Dieu XC'!$A:$C,3,FALSE),"")</f>
        <v>21</v>
      </c>
      <c r="H35" s="5">
        <f>IFERROR(VLOOKUP(B35,'Bosworth XC'!$A:$C,3,FALSE),"")</f>
        <v>23</v>
      </c>
      <c r="I35" s="5" t="str">
        <f>IFERROR(VLOOKUP($B35,'Kibworth 6'!$A:$C,3,FALSE),"")</f>
        <v/>
      </c>
      <c r="J35" s="5" t="str">
        <f>IFERROR(VLOOKUP($B35,'Ivanhoe 20'!$A:$C,3,FALSE),"")</f>
        <v/>
      </c>
      <c r="K35" s="5" t="str">
        <f>IFERROR(VLOOKUP($B35,'Run In Forest'!$A:$C,3,FALSE),"")</f>
        <v/>
      </c>
      <c r="L35" s="5" t="str">
        <f>IFERROR(VLOOKUP($B35,'Stilton 7'!$A:$C,3,FALSE),"")</f>
        <v/>
      </c>
      <c r="M35" s="5" t="str">
        <f>IFERROR(VLOOKUP($B35,'Uttoxeter HM'!$A:$C,3,FALSE),"")</f>
        <v/>
      </c>
      <c r="N35" s="5" t="str">
        <f>IFERROR(VLOOKUP($B35,'Bosworth HM'!$A:$C,3,FALSE),"")</f>
        <v/>
      </c>
      <c r="O35" s="5" t="str">
        <f>IFERROR(VLOOKUP($B35,'West End 8'!$A:$C,3,FALSE),"")</f>
        <v/>
      </c>
      <c r="P35" s="5" t="str">
        <f>IFERROR(VLOOKUP($B35,'Swithland 6'!$A:$C,3,FALSE),"")</f>
        <v/>
      </c>
      <c r="Q35" s="5">
        <f>IFERROR(VLOOKUP($B35,'Washlands Relays'!$A:$C,3,FALSE),"")</f>
        <v>7</v>
      </c>
      <c r="R35" s="5" t="str">
        <f>IFERROR(VLOOKUP($B35,'Tara Kinder 10K'!$A:$C,3,FALSE),"")</f>
        <v/>
      </c>
      <c r="S35" s="5">
        <f>IFERROR(VLOOKUP($B35,'Worthington 6'!$A:$C,3,FALSE),"")</f>
        <v>13</v>
      </c>
      <c r="T35" s="5" t="str">
        <f>IFERROR(VLOOKUP($B35,'Joy Cann 5'!$A:$C,3,FALSE),"")</f>
        <v/>
      </c>
      <c r="U35" s="5" t="str">
        <f>IFERROR(VLOOKUP($B35,'Burton 10k'!$A:$C,3,FALSE),"")</f>
        <v/>
      </c>
      <c r="V35" s="5" t="str">
        <f>IFERROR(VLOOKUP($B35,'Rotherby 8'!$A:$C,3,FALSE),"")</f>
        <v/>
      </c>
      <c r="W35" s="5" t="str">
        <f>IFERROR(VLOOKUP($B35,'Lichfield 10k'!$A:$C,3,FALSE),"")</f>
        <v/>
      </c>
      <c r="X35" s="5" t="str">
        <f>IFERROR(VLOOKUP($B35,'Adrian Smith'!$A:$C,3,FALSE),"")</f>
        <v/>
      </c>
      <c r="Y35" s="5" t="str">
        <f>IFERROR(VLOOKUP($B35,'Tamworth 5'!$A:$C,3,FALSE),"")</f>
        <v/>
      </c>
      <c r="Z35" s="31" t="str">
        <f>IFERROR(VLOOKUP($B35,'Bagworth XC'!$A:$C,3,FALSE),"")</f>
        <v/>
      </c>
      <c r="AA35" s="5" t="str">
        <f>IFERROR(VLOOKUP($B35,'Markfield 10k'!$A:$C,3,FALSE),"")</f>
        <v/>
      </c>
      <c r="AB35" s="5" t="str">
        <f>IFERROR(VLOOKUP($B35,'Shepshed 7'!$A:$C,3,FALSE),"")</f>
        <v/>
      </c>
    </row>
    <row r="36" spans="1:28" x14ac:dyDescent="0.25">
      <c r="A36" s="42">
        <f ca="1">IFERROR(Table2[[#This Row],[Position]],"")</f>
        <v>35</v>
      </c>
      <c r="B36" s="18" t="s">
        <v>119</v>
      </c>
      <c r="C36" s="81">
        <f ca="1">IF(Table2[[#This Row],[Total races]]=0,0,(RANK(E36,$E$3:$E$69)+COUNTIF(E36:$E$67,E36)-1))</f>
        <v>35</v>
      </c>
      <c r="D36" s="5">
        <f>COUNTIF(F36:AB36,"&gt;=0")</f>
        <v>4</v>
      </c>
      <c r="E36" s="5">
        <f t="array" aca="1" ref="E36" ca="1">IF(Table2[[#This Row],[Total races]]&lt;11,SUM(Table2[[#This Row],[Derby 5k]:[Shepshed 7]]),SUM(LARGE(F36:AB36,ROW(INDIRECT("1:10")))))+Table2[[#This Row],[Total races]]*3</f>
        <v>75</v>
      </c>
      <c r="F36" s="5" t="str">
        <f>IFERROR(VLOOKUP(B36,'Derby 5K'!$B$4:$K$15,10,FALSE),"")</f>
        <v/>
      </c>
      <c r="G36" s="5" t="str">
        <f>IFERROR(VLOOKUP(B36,'Grace Dieu XC'!$A:$C,3,FALSE),"")</f>
        <v/>
      </c>
      <c r="H36" s="5" t="str">
        <f>IFERROR(VLOOKUP(B36,'Bosworth XC'!$A:$C,3,FALSE),"")</f>
        <v/>
      </c>
      <c r="I36" s="5" t="str">
        <f>IFERROR(VLOOKUP($B36,'Kibworth 6'!$A:$C,3,FALSE),"")</f>
        <v/>
      </c>
      <c r="J36" s="5" t="str">
        <f>IFERROR(VLOOKUP($B36,'Ivanhoe 20'!$A:$C,3,FALSE),"")</f>
        <v/>
      </c>
      <c r="K36" s="5" t="str">
        <f>IFERROR(VLOOKUP($B36,'Run In Forest'!$A:$C,3,FALSE),"")</f>
        <v/>
      </c>
      <c r="L36" s="5" t="str">
        <f>IFERROR(VLOOKUP($B36,'Stilton 7'!$A:$C,3,FALSE),"")</f>
        <v/>
      </c>
      <c r="M36" s="5" t="str">
        <f>IFERROR(VLOOKUP($B36,'Uttoxeter HM'!$A:$C,3,FALSE),"")</f>
        <v/>
      </c>
      <c r="N36" s="5" t="str">
        <f>IFERROR(VLOOKUP($B36,'Bosworth HM'!$A:$C,3,FALSE),"")</f>
        <v/>
      </c>
      <c r="O36" s="5" t="str">
        <f>IFERROR(VLOOKUP($B36,'West End 8'!$A:$C,3,FALSE),"")</f>
        <v/>
      </c>
      <c r="P36" s="5" t="str">
        <f>IFERROR(VLOOKUP($B36,'Swithland 6'!$A:$C,3,FALSE),"")</f>
        <v/>
      </c>
      <c r="Q36" s="5">
        <f>IFERROR(VLOOKUP($B36,'Washlands Relays'!$A:$C,3,FALSE),"")</f>
        <v>5</v>
      </c>
      <c r="R36" s="5" t="str">
        <f>IFERROR(VLOOKUP($B36,'Tara Kinder 10K'!$A:$C,3,FALSE),"")</f>
        <v/>
      </c>
      <c r="S36" s="5">
        <f>IFERROR(VLOOKUP($B36,'Worthington 6'!$A:$C,3,FALSE),"")</f>
        <v>14</v>
      </c>
      <c r="T36" s="5" t="str">
        <f>IFERROR(VLOOKUP($B36,'Joy Cann 5'!$A:$C,3,FALSE),"")</f>
        <v/>
      </c>
      <c r="U36" s="5" t="str">
        <f>IFERROR(VLOOKUP($B36,'Burton 10k'!$A:$C,3,FALSE),"")</f>
        <v/>
      </c>
      <c r="V36" s="5" t="str">
        <f>IFERROR(VLOOKUP($B36,'Rotherby 8'!$A:$C,3,FALSE),"")</f>
        <v/>
      </c>
      <c r="W36" s="5">
        <f>IFERROR(VLOOKUP($B36,'Lichfield 10k'!$A:$C,3,FALSE),"")</f>
        <v>24</v>
      </c>
      <c r="X36" s="5">
        <f>IFERROR(VLOOKUP($B36,'Adrian Smith'!$A:$C,3,FALSE),"")</f>
        <v>20</v>
      </c>
      <c r="Y36" s="5" t="str">
        <f>IFERROR(VLOOKUP($B36,'Tamworth 5'!$A:$C,3,FALSE),"")</f>
        <v/>
      </c>
      <c r="Z36" s="31" t="str">
        <f>IFERROR(VLOOKUP($B36,'Bagworth XC'!$A:$C,3,FALSE),"")</f>
        <v/>
      </c>
      <c r="AA36" s="5" t="str">
        <f>IFERROR(VLOOKUP($B36,'Markfield 10k'!$A:$C,3,FALSE),"")</f>
        <v/>
      </c>
      <c r="AB36" s="5" t="str">
        <f>IFERROR(VLOOKUP($B36,'Shepshed 7'!$A:$C,3,FALSE),"")</f>
        <v/>
      </c>
    </row>
    <row r="37" spans="1:28" x14ac:dyDescent="0.25">
      <c r="A37" s="42">
        <f ca="1">IFERROR(Table2[[#This Row],[Position]],"")</f>
        <v>34</v>
      </c>
      <c r="B37" s="18" t="s">
        <v>106</v>
      </c>
      <c r="C37" s="81">
        <f ca="1">IF(Table2[[#This Row],[Total races]]=0,0,(RANK(E37,$E$3:$E$69)+COUNTIF(E37:$E$67,E37)-1))</f>
        <v>34</v>
      </c>
      <c r="D37" s="5">
        <f>COUNTIF(F37:AB37,"&gt;=0")</f>
        <v>3</v>
      </c>
      <c r="E37" s="5">
        <f t="array" aca="1" ref="E37" ca="1">IF(Table2[[#This Row],[Total races]]&lt;11,SUM(Table2[[#This Row],[Derby 5k]:[Shepshed 7]]),SUM(LARGE(F37:AB37,ROW(INDIRECT("1:10")))))+Table2[[#This Row],[Total races]]*3</f>
        <v>75</v>
      </c>
      <c r="F37" s="5" t="str">
        <f>IFERROR(VLOOKUP(B37,'Derby 5K'!$B$4:$K$15,10,FALSE),"")</f>
        <v/>
      </c>
      <c r="G37" s="5" t="str">
        <f>IFERROR(VLOOKUP(B37,'Grace Dieu XC'!$A:$C,3,FALSE),"")</f>
        <v/>
      </c>
      <c r="H37" s="5" t="str">
        <f>IFERROR(VLOOKUP(B37,'Bosworth XC'!$A:$C,3,FALSE),"")</f>
        <v/>
      </c>
      <c r="I37" s="5" t="str">
        <f>IFERROR(VLOOKUP($B37,'Kibworth 6'!$A:$C,3,FALSE),"")</f>
        <v/>
      </c>
      <c r="J37" s="5" t="str">
        <f>IFERROR(VLOOKUP($B37,'Ivanhoe 20'!$A:$C,3,FALSE),"")</f>
        <v/>
      </c>
      <c r="K37" s="5" t="str">
        <f>IFERROR(VLOOKUP($B37,'Run In Forest'!$A:$C,3,FALSE),"")</f>
        <v/>
      </c>
      <c r="L37" s="5">
        <f>IFERROR(VLOOKUP($B37,'Stilton 7'!$A:$C,3,FALSE),"")</f>
        <v>28</v>
      </c>
      <c r="M37" s="5" t="str">
        <f>IFERROR(VLOOKUP($B37,'Uttoxeter HM'!$A:$C,3,FALSE),"")</f>
        <v/>
      </c>
      <c r="N37" s="5">
        <f>IFERROR(VLOOKUP($B37,'Bosworth HM'!$A:$C,3,FALSE),"")</f>
        <v>18</v>
      </c>
      <c r="O37" s="5" t="str">
        <f>IFERROR(VLOOKUP($B37,'West End 8'!$A:$C,3,FALSE),"")</f>
        <v/>
      </c>
      <c r="P37" s="5" t="str">
        <f>IFERROR(VLOOKUP($B37,'Swithland 6'!$A:$C,3,FALSE),"")</f>
        <v/>
      </c>
      <c r="Q37" s="5" t="str">
        <f>IFERROR(VLOOKUP($B37,'Washlands Relays'!$A:$C,3,FALSE),"")</f>
        <v/>
      </c>
      <c r="R37" s="5" t="str">
        <f>IFERROR(VLOOKUP($B37,'Tara Kinder 10K'!$A:$C,3,FALSE),"")</f>
        <v/>
      </c>
      <c r="S37" s="5" t="str">
        <f>IFERROR(VLOOKUP($B37,'Worthington 6'!$A:$C,3,FALSE),"")</f>
        <v/>
      </c>
      <c r="T37" s="5" t="str">
        <f>IFERROR(VLOOKUP($B37,'Joy Cann 5'!$A:$C,3,FALSE),"")</f>
        <v/>
      </c>
      <c r="U37" s="5" t="str">
        <f>IFERROR(VLOOKUP($B37,'Burton 10k'!$A:$C,3,FALSE),"")</f>
        <v/>
      </c>
      <c r="V37" s="5" t="str">
        <f>IFERROR(VLOOKUP($B37,'Rotherby 8'!$A:$C,3,FALSE),"")</f>
        <v/>
      </c>
      <c r="W37" s="5" t="str">
        <f>IFERROR(VLOOKUP($B37,'Lichfield 10k'!$A:$C,3,FALSE),"")</f>
        <v/>
      </c>
      <c r="X37" s="5" t="str">
        <f>IFERROR(VLOOKUP($B37,'Adrian Smith'!$A:$C,3,FALSE),"")</f>
        <v/>
      </c>
      <c r="Y37" s="5" t="str">
        <f>IFERROR(VLOOKUP($B37,'Tamworth 5'!$A:$C,3,FALSE),"")</f>
        <v/>
      </c>
      <c r="Z37" s="31">
        <f>IFERROR(VLOOKUP($B37,'Bagworth XC'!$A:$C,3,FALSE),"")</f>
        <v>20</v>
      </c>
      <c r="AA37" s="5" t="str">
        <f>IFERROR(VLOOKUP($B37,'Markfield 10k'!$A:$C,3,FALSE),"")</f>
        <v/>
      </c>
      <c r="AB37" s="5" t="str">
        <f>IFERROR(VLOOKUP($B37,'Shepshed 7'!$A:$C,3,FALSE),"")</f>
        <v/>
      </c>
    </row>
    <row r="38" spans="1:28" x14ac:dyDescent="0.25">
      <c r="A38" s="42">
        <f ca="1">IFERROR(Table2[[#This Row],[Position]],"")</f>
        <v>36</v>
      </c>
      <c r="B38" s="18" t="s">
        <v>274</v>
      </c>
      <c r="C38" s="81">
        <f ca="1">IF(Table2[[#This Row],[Total races]]=0,0,(RANK(E38,$E$3:$E$69)+COUNTIF(E38:$E$67,E38)-1))</f>
        <v>36</v>
      </c>
      <c r="D38" s="5">
        <f>COUNTIF(F38:AB38,"&gt;=0")</f>
        <v>3</v>
      </c>
      <c r="E38" s="5">
        <f t="array" aca="1" ref="E38" ca="1">IF(Table2[[#This Row],[Total races]]&lt;11,SUM(Table2[[#This Row],[Derby 5k]:[Shepshed 7]]),SUM(LARGE(F38:AB38,ROW(INDIRECT("1:10")))))+Table2[[#This Row],[Total races]]*3</f>
        <v>68</v>
      </c>
      <c r="F38" s="5" t="str">
        <f>IFERROR(VLOOKUP(B38,'Derby 5K'!$B$4:$K$15,10,FALSE),"")</f>
        <v/>
      </c>
      <c r="G38" s="5" t="str">
        <f>IFERROR(VLOOKUP(B38,'Grace Dieu XC'!$A:$C,3,FALSE),"")</f>
        <v/>
      </c>
      <c r="H38" s="5" t="str">
        <f>IFERROR(VLOOKUP(B38,'Bosworth XC'!$A:$C,3,FALSE),"")</f>
        <v/>
      </c>
      <c r="I38" s="5" t="str">
        <f>IFERROR(VLOOKUP($B38,'Kibworth 6'!$A:$C,3,FALSE),"")</f>
        <v/>
      </c>
      <c r="J38" s="5" t="str">
        <f>IFERROR(VLOOKUP($B38,'Ivanhoe 20'!$A:$C,3,FALSE),"")</f>
        <v/>
      </c>
      <c r="K38" s="5" t="str">
        <f>IFERROR(VLOOKUP($B38,'Run In Forest'!$A:$C,3,FALSE),"")</f>
        <v/>
      </c>
      <c r="L38" s="5" t="str">
        <f>IFERROR(VLOOKUP($B38,'Stilton 7'!$A:$C,3,FALSE),"")</f>
        <v/>
      </c>
      <c r="M38" s="5" t="str">
        <f>IFERROR(VLOOKUP($B38,'Uttoxeter HM'!$A:$C,3,FALSE),"")</f>
        <v/>
      </c>
      <c r="N38" s="5" t="str">
        <f>IFERROR(VLOOKUP($B38,'Bosworth HM'!$A:$C,3,FALSE),"")</f>
        <v/>
      </c>
      <c r="O38" s="5">
        <f>IFERROR(VLOOKUP($B38,'West End 8'!$A:$C,3,FALSE),"")</f>
        <v>12</v>
      </c>
      <c r="P38" s="5" t="str">
        <f>IFERROR(VLOOKUP($B38,'Swithland 6'!$A:$C,3,FALSE),"")</f>
        <v/>
      </c>
      <c r="Q38" s="5" t="str">
        <f>IFERROR(VLOOKUP($B38,'Washlands Relays'!$A:$C,3,FALSE),"")</f>
        <v/>
      </c>
      <c r="R38" s="5" t="str">
        <f>IFERROR(VLOOKUP($B38,'Tara Kinder 10K'!$A:$C,3,FALSE),"")</f>
        <v/>
      </c>
      <c r="S38" s="5" t="str">
        <f>IFERROR(VLOOKUP($B38,'Worthington 6'!$A:$C,3,FALSE),"")</f>
        <v/>
      </c>
      <c r="T38" s="5" t="str">
        <f>IFERROR(VLOOKUP($B38,'Joy Cann 5'!$A:$C,3,FALSE),"")</f>
        <v/>
      </c>
      <c r="U38" s="5" t="str">
        <f>IFERROR(VLOOKUP($B38,'Burton 10k'!$A:$C,3,FALSE),"")</f>
        <v/>
      </c>
      <c r="V38" s="5" t="str">
        <f>IFERROR(VLOOKUP($B38,'Rotherby 8'!$A:$C,3,FALSE),"")</f>
        <v/>
      </c>
      <c r="W38" s="5" t="str">
        <f>IFERROR(VLOOKUP($B38,'Lichfield 10k'!$A:$C,3,FALSE),"")</f>
        <v/>
      </c>
      <c r="X38" s="5" t="str">
        <f>IFERROR(VLOOKUP($B38,'Adrian Smith'!$A:$C,3,FALSE),"")</f>
        <v/>
      </c>
      <c r="Y38" s="5" t="str">
        <f>IFERROR(VLOOKUP($B38,'Tamworth 5'!$A:$C,3,FALSE),"")</f>
        <v/>
      </c>
      <c r="Z38" s="31" t="str">
        <f>IFERROR(VLOOKUP($B38,'Bagworth XC'!$A:$C,3,FALSE),"")</f>
        <v/>
      </c>
      <c r="AA38" s="5">
        <f>IFERROR(VLOOKUP($B38,'Markfield 10k'!$A:$C,3,FALSE),"")</f>
        <v>26</v>
      </c>
      <c r="AB38" s="5">
        <f>IFERROR(VLOOKUP($B38,'Shepshed 7'!$A:$C,3,FALSE),"")</f>
        <v>21</v>
      </c>
    </row>
    <row r="39" spans="1:28" x14ac:dyDescent="0.25">
      <c r="A39" s="42">
        <f ca="1">IFERROR(Table2[[#This Row],[Position]],"")</f>
        <v>37</v>
      </c>
      <c r="B39" s="18" t="s">
        <v>42</v>
      </c>
      <c r="C39" s="81">
        <f ca="1">IF(Table2[[#This Row],[Total races]]=0,0,(RANK(E39,$E$3:$E$69)+COUNTIF(E39:$E$67,E39)-1))</f>
        <v>37</v>
      </c>
      <c r="D39" s="5">
        <f>COUNTIF(F39:AB39,"&gt;=0")</f>
        <v>3</v>
      </c>
      <c r="E39" s="5">
        <f t="array" aca="1" ref="E39" ca="1">IF(Table2[[#This Row],[Total races]]&lt;11,SUM(Table2[[#This Row],[Derby 5k]:[Shepshed 7]]),SUM(LARGE(F39:AB39,ROW(INDIRECT("1:10")))))+Table2[[#This Row],[Total races]]*3</f>
        <v>65</v>
      </c>
      <c r="F39" s="5" t="str">
        <f>IFERROR(VLOOKUP(B39,'Derby 5K'!$B$4:$K$15,10,FALSE),"")</f>
        <v/>
      </c>
      <c r="G39" s="5">
        <f>IFERROR(VLOOKUP(B39,'Grace Dieu XC'!$A:$C,3,FALSE),"")</f>
        <v>17</v>
      </c>
      <c r="H39" s="5">
        <f>IFERROR(VLOOKUP(B39,'Bosworth XC'!$A:$C,3,FALSE),"")</f>
        <v>19</v>
      </c>
      <c r="I39" s="5" t="str">
        <f>IFERROR(VLOOKUP($B39,'Kibworth 6'!$A:$C,3,FALSE),"")</f>
        <v/>
      </c>
      <c r="J39" s="5" t="str">
        <f>IFERROR(VLOOKUP($B39,'Ivanhoe 20'!$A:$C,3,FALSE),"")</f>
        <v/>
      </c>
      <c r="K39" s="5" t="str">
        <f>IFERROR(VLOOKUP($B39,'Run In Forest'!$A:$C,3,FALSE),"")</f>
        <v/>
      </c>
      <c r="L39" s="5" t="str">
        <f>IFERROR(VLOOKUP($B39,'Stilton 7'!$A:$C,3,FALSE),"")</f>
        <v/>
      </c>
      <c r="M39" s="5" t="str">
        <f>IFERROR(VLOOKUP($B39,'Uttoxeter HM'!$A:$C,3,FALSE),"")</f>
        <v/>
      </c>
      <c r="N39" s="5" t="str">
        <f>IFERROR(VLOOKUP($B39,'Bosworth HM'!$A:$C,3,FALSE),"")</f>
        <v/>
      </c>
      <c r="O39" s="5" t="str">
        <f>IFERROR(VLOOKUP($B39,'West End 8'!$A:$C,3,FALSE),"")</f>
        <v/>
      </c>
      <c r="P39" s="5" t="str">
        <f>IFERROR(VLOOKUP($B39,'Swithland 6'!$A:$C,3,FALSE),"")</f>
        <v/>
      </c>
      <c r="Q39" s="5" t="str">
        <f>IFERROR(VLOOKUP($B39,'Washlands Relays'!$A:$C,3,FALSE),"")</f>
        <v/>
      </c>
      <c r="R39" s="5" t="str">
        <f>IFERROR(VLOOKUP($B39,'Tara Kinder 10K'!$A:$C,3,FALSE),"")</f>
        <v/>
      </c>
      <c r="S39" s="5" t="str">
        <f>IFERROR(VLOOKUP($B39,'Worthington 6'!$A:$C,3,FALSE),"")</f>
        <v/>
      </c>
      <c r="T39" s="5" t="str">
        <f>IFERROR(VLOOKUP($B39,'Joy Cann 5'!$A:$C,3,FALSE),"")</f>
        <v/>
      </c>
      <c r="U39" s="5" t="str">
        <f>IFERROR(VLOOKUP($B39,'Burton 10k'!$A:$C,3,FALSE),"")</f>
        <v/>
      </c>
      <c r="V39" s="5" t="str">
        <f>IFERROR(VLOOKUP($B39,'Rotherby 8'!$A:$C,3,FALSE),"")</f>
        <v/>
      </c>
      <c r="W39" s="5" t="str">
        <f>IFERROR(VLOOKUP($B39,'Lichfield 10k'!$A:$C,3,FALSE),"")</f>
        <v/>
      </c>
      <c r="X39" s="5" t="str">
        <f>IFERROR(VLOOKUP($B39,'Adrian Smith'!$A:$C,3,FALSE),"")</f>
        <v/>
      </c>
      <c r="Y39" s="5" t="str">
        <f>IFERROR(VLOOKUP($B39,'Tamworth 5'!$A:$C,3,FALSE),"")</f>
        <v/>
      </c>
      <c r="Z39" s="31" t="str">
        <f>IFERROR(VLOOKUP($B39,'Bagworth XC'!$A:$C,3,FALSE),"")</f>
        <v/>
      </c>
      <c r="AA39" s="5" t="str">
        <f>IFERROR(VLOOKUP($B39,'Markfield 10k'!$A:$C,3,FALSE),"")</f>
        <v/>
      </c>
      <c r="AB39" s="5">
        <f>IFERROR(VLOOKUP($B39,'Shepshed 7'!$A:$C,3,FALSE),"")</f>
        <v>20</v>
      </c>
    </row>
    <row r="40" spans="1:28" x14ac:dyDescent="0.25">
      <c r="A40" s="42">
        <f ca="1">IFERROR(Table2[[#This Row],[Position]],"")</f>
        <v>38</v>
      </c>
      <c r="B40" s="18" t="s">
        <v>103</v>
      </c>
      <c r="C40" s="81">
        <f ca="1">IF(Table2[[#This Row],[Total races]]=0,0,(RANK(E40,$E$3:$E$69)+COUNTIF(E40:$E$67,E40)-1))</f>
        <v>38</v>
      </c>
      <c r="D40" s="5">
        <f>COUNTIF(F40:AB40,"&gt;=0")</f>
        <v>2</v>
      </c>
      <c r="E40" s="5">
        <f t="array" aca="1" ref="E40" ca="1">IF(Table2[[#This Row],[Total races]]&lt;11,SUM(Table2[[#This Row],[Derby 5k]:[Shepshed 7]]),SUM(LARGE(F40:AB40,ROW(INDIRECT("1:10")))))+Table2[[#This Row],[Total races]]*3</f>
        <v>60</v>
      </c>
      <c r="F40" s="5" t="str">
        <f>IFERROR(VLOOKUP(B40,'Derby 5K'!$B$4:$K$15,10,FALSE),"")</f>
        <v/>
      </c>
      <c r="G40" s="5" t="str">
        <f>IFERROR(VLOOKUP(B40,'Grace Dieu XC'!$A:$C,3,FALSE),"")</f>
        <v/>
      </c>
      <c r="H40" s="5" t="str">
        <f>IFERROR(VLOOKUP(B40,'Bosworth XC'!$A:$C,3,FALSE),"")</f>
        <v/>
      </c>
      <c r="I40" s="5" t="str">
        <f>IFERROR(VLOOKUP($B40,'Kibworth 6'!$A:$C,3,FALSE),"")</f>
        <v/>
      </c>
      <c r="J40" s="5" t="str">
        <f>IFERROR(VLOOKUP($B40,'Ivanhoe 20'!$A:$C,3,FALSE),"")</f>
        <v/>
      </c>
      <c r="K40" s="5" t="str">
        <f>IFERROR(VLOOKUP($B40,'Run In Forest'!$A:$C,3,FALSE),"")</f>
        <v/>
      </c>
      <c r="L40" s="5" t="str">
        <f>IFERROR(VLOOKUP($B40,'Stilton 7'!$A:$C,3,FALSE),"")</f>
        <v/>
      </c>
      <c r="M40" s="5" t="str">
        <f>IFERROR(VLOOKUP($B40,'Uttoxeter HM'!$A:$C,3,FALSE),"")</f>
        <v/>
      </c>
      <c r="N40" s="5">
        <f>IFERROR(VLOOKUP($B40,'Bosworth HM'!$A:$C,3,FALSE),"")</f>
        <v>28</v>
      </c>
      <c r="O40" s="5" t="str">
        <f>IFERROR(VLOOKUP($B40,'West End 8'!$A:$C,3,FALSE),"")</f>
        <v/>
      </c>
      <c r="P40" s="5" t="str">
        <f>IFERROR(VLOOKUP($B40,'Swithland 6'!$A:$C,3,FALSE),"")</f>
        <v/>
      </c>
      <c r="Q40" s="5">
        <f>IFERROR(VLOOKUP($B40,'Washlands Relays'!$A:$C,3,FALSE),"")</f>
        <v>26</v>
      </c>
      <c r="R40" s="5" t="str">
        <f>IFERROR(VLOOKUP($B40,'Tara Kinder 10K'!$A:$C,3,FALSE),"")</f>
        <v/>
      </c>
      <c r="S40" s="5" t="str">
        <f>IFERROR(VLOOKUP($B40,'Worthington 6'!$A:$C,3,FALSE),"")</f>
        <v/>
      </c>
      <c r="T40" s="5" t="str">
        <f>IFERROR(VLOOKUP($B40,'Joy Cann 5'!$A:$C,3,FALSE),"")</f>
        <v/>
      </c>
      <c r="U40" s="5" t="str">
        <f>IFERROR(VLOOKUP($B40,'Burton 10k'!$A:$C,3,FALSE),"")</f>
        <v/>
      </c>
      <c r="V40" s="5" t="str">
        <f>IFERROR(VLOOKUP($B40,'Rotherby 8'!$A:$C,3,FALSE),"")</f>
        <v/>
      </c>
      <c r="W40" s="5" t="str">
        <f>IFERROR(VLOOKUP($B40,'Lichfield 10k'!$A:$C,3,FALSE),"")</f>
        <v/>
      </c>
      <c r="X40" s="5" t="str">
        <f>IFERROR(VLOOKUP($B40,'Adrian Smith'!$A:$C,3,FALSE),"")</f>
        <v/>
      </c>
      <c r="Y40" s="5" t="str">
        <f>IFERROR(VLOOKUP($B40,'Tamworth 5'!$A:$C,3,FALSE),"")</f>
        <v/>
      </c>
      <c r="Z40" s="31" t="str">
        <f>IFERROR(VLOOKUP($B40,'Bagworth XC'!$A:$C,3,FALSE),"")</f>
        <v/>
      </c>
      <c r="AA40" s="5" t="str">
        <f>IFERROR(VLOOKUP($B40,'Markfield 10k'!$A:$C,3,FALSE),"")</f>
        <v/>
      </c>
      <c r="AB40" s="5" t="str">
        <f>IFERROR(VLOOKUP($B40,'Shepshed 7'!$A:$C,3,FALSE),"")</f>
        <v/>
      </c>
    </row>
    <row r="41" spans="1:28" x14ac:dyDescent="0.25">
      <c r="A41" s="42">
        <f ca="1">IFERROR(Table2[[#This Row],[Position]],"")</f>
        <v>39</v>
      </c>
      <c r="B41" s="18" t="s">
        <v>49</v>
      </c>
      <c r="C41" s="81">
        <f ca="1">IF(Table2[[#This Row],[Total races]]=0,0,(RANK(E41,$E$3:$E$69)+COUNTIF(E41:$E$67,E41)-1))</f>
        <v>39</v>
      </c>
      <c r="D41" s="5">
        <f>COUNTIF(F41:AB41,"&gt;=0")</f>
        <v>2</v>
      </c>
      <c r="E41" s="5">
        <f t="array" aca="1" ref="E41" ca="1">IF(Table2[[#This Row],[Total races]]&lt;11,SUM(Table2[[#This Row],[Derby 5k]:[Shepshed 7]]),SUM(LARGE(F41:AB41,ROW(INDIRECT("1:10")))))+Table2[[#This Row],[Total races]]*3</f>
        <v>58</v>
      </c>
      <c r="F41" s="5" t="str">
        <f>IFERROR(VLOOKUP(B41,'Derby 5K'!$B$4:$K$15,10,FALSE),"")</f>
        <v/>
      </c>
      <c r="G41" s="5" t="str">
        <f>IFERROR(VLOOKUP(B41,'Grace Dieu XC'!$A:$C,3,FALSE),"")</f>
        <v/>
      </c>
      <c r="H41" s="5" t="str">
        <f>IFERROR(VLOOKUP(B41,'Bosworth XC'!$A:$C,3,FALSE),"")</f>
        <v/>
      </c>
      <c r="I41" s="5" t="str">
        <f>IFERROR(VLOOKUP($B41,'Kibworth 6'!$A:$C,3,FALSE),"")</f>
        <v/>
      </c>
      <c r="J41" s="5" t="str">
        <f>IFERROR(VLOOKUP($B41,'Ivanhoe 20'!$A:$C,3,FALSE),"")</f>
        <v/>
      </c>
      <c r="K41" s="5" t="str">
        <f>IFERROR(VLOOKUP($B41,'Run In Forest'!$A:$C,3,FALSE),"")</f>
        <v/>
      </c>
      <c r="L41" s="5" t="str">
        <f>IFERROR(VLOOKUP($B41,'Stilton 7'!$A:$C,3,FALSE),"")</f>
        <v/>
      </c>
      <c r="M41" s="5" t="str">
        <f>IFERROR(VLOOKUP($B41,'Uttoxeter HM'!$A:$C,3,FALSE),"")</f>
        <v/>
      </c>
      <c r="N41" s="5" t="str">
        <f>IFERROR(VLOOKUP($B41,'Bosworth HM'!$A:$C,3,FALSE),"")</f>
        <v/>
      </c>
      <c r="O41" s="5" t="str">
        <f>IFERROR(VLOOKUP($B41,'West End 8'!$A:$C,3,FALSE),"")</f>
        <v/>
      </c>
      <c r="P41" s="5" t="str">
        <f>IFERROR(VLOOKUP($B41,'Swithland 6'!$A:$C,3,FALSE),"")</f>
        <v/>
      </c>
      <c r="Q41" s="5">
        <f>IFERROR(VLOOKUP($B41,'Washlands Relays'!$A:$C,3,FALSE),"")</f>
        <v>25</v>
      </c>
      <c r="R41" s="5" t="str">
        <f>IFERROR(VLOOKUP($B41,'Tara Kinder 10K'!$A:$C,3,FALSE),"")</f>
        <v/>
      </c>
      <c r="S41" s="5" t="str">
        <f>IFERROR(VLOOKUP($B41,'Worthington 6'!$A:$C,3,FALSE),"")</f>
        <v/>
      </c>
      <c r="T41" s="5" t="str">
        <f>IFERROR(VLOOKUP($B41,'Joy Cann 5'!$A:$C,3,FALSE),"")</f>
        <v/>
      </c>
      <c r="U41" s="5">
        <f>IFERROR(VLOOKUP($B41,'Burton 10k'!$A:$C,3,FALSE),"")</f>
        <v>27</v>
      </c>
      <c r="V41" s="5" t="str">
        <f>IFERROR(VLOOKUP($B41,'Rotherby 8'!$A:$C,3,FALSE),"")</f>
        <v/>
      </c>
      <c r="W41" s="5" t="str">
        <f>IFERROR(VLOOKUP($B41,'Lichfield 10k'!$A:$C,3,FALSE),"")</f>
        <v/>
      </c>
      <c r="X41" s="5" t="str">
        <f>IFERROR(VLOOKUP($B41,'Adrian Smith'!$A:$C,3,FALSE),"")</f>
        <v/>
      </c>
      <c r="Y41" s="5" t="str">
        <f>IFERROR(VLOOKUP($B41,'Tamworth 5'!$A:$C,3,FALSE),"")</f>
        <v/>
      </c>
      <c r="Z41" s="31" t="str">
        <f>IFERROR(VLOOKUP($B41,'Bagworth XC'!$A:$C,3,FALSE),"")</f>
        <v/>
      </c>
      <c r="AA41" s="5" t="str">
        <f>IFERROR(VLOOKUP($B41,'Markfield 10k'!$A:$C,3,FALSE),"")</f>
        <v/>
      </c>
      <c r="AB41" s="5" t="str">
        <f>IFERROR(VLOOKUP($B41,'Shepshed 7'!$A:$C,3,FALSE),"")</f>
        <v/>
      </c>
    </row>
    <row r="42" spans="1:28" x14ac:dyDescent="0.25">
      <c r="A42" s="42">
        <f ca="1">IFERROR(Table2[[#This Row],[Position]],"")</f>
        <v>40</v>
      </c>
      <c r="B42" s="18" t="s">
        <v>71</v>
      </c>
      <c r="C42" s="81">
        <f ca="1">IF(Table2[[#This Row],[Total races]]=0,0,(RANK(E42,$E$3:$E$69)+COUNTIF(E42:$E$67,E42)-1))</f>
        <v>40</v>
      </c>
      <c r="D42" s="5">
        <f>COUNTIF(F42:AB42,"&gt;=0")</f>
        <v>2</v>
      </c>
      <c r="E42" s="5">
        <f t="array" aca="1" ref="E42" ca="1">IF(Table2[[#This Row],[Total races]]&lt;11,SUM(Table2[[#This Row],[Derby 5k]:[Shepshed 7]]),SUM(LARGE(F42:AB42,ROW(INDIRECT("1:10")))))+Table2[[#This Row],[Total races]]*3</f>
        <v>57</v>
      </c>
      <c r="F42" s="5" t="str">
        <f>IFERROR(VLOOKUP(B42,'Derby 5K'!$B$4:$K$15,10,FALSE),"")</f>
        <v/>
      </c>
      <c r="G42" s="5">
        <f>IFERROR(VLOOKUP(B42,'Grace Dieu XC'!$A:$C,3,FALSE),"")</f>
        <v>24</v>
      </c>
      <c r="H42" s="5">
        <f>IFERROR(VLOOKUP(B42,'Bosworth XC'!$A:$C,3,FALSE),"")</f>
        <v>27</v>
      </c>
      <c r="I42" s="5" t="str">
        <f>IFERROR(VLOOKUP($B42,'Kibworth 6'!$A:$C,3,FALSE),"")</f>
        <v/>
      </c>
      <c r="J42" s="5" t="str">
        <f>IFERROR(VLOOKUP($B42,'Ivanhoe 20'!$A:$C,3,FALSE),"")</f>
        <v/>
      </c>
      <c r="K42" s="5" t="str">
        <f>IFERROR(VLOOKUP($B42,'Run In Forest'!$A:$C,3,FALSE),"")</f>
        <v/>
      </c>
      <c r="L42" s="5" t="str">
        <f>IFERROR(VLOOKUP($B42,'Stilton 7'!$A:$C,3,FALSE),"")</f>
        <v/>
      </c>
      <c r="M42" s="5" t="str">
        <f>IFERROR(VLOOKUP($B42,'Uttoxeter HM'!$A:$C,3,FALSE),"")</f>
        <v/>
      </c>
      <c r="N42" s="5" t="str">
        <f>IFERROR(VLOOKUP($B42,'Bosworth HM'!$A:$C,3,FALSE),"")</f>
        <v/>
      </c>
      <c r="O42" s="5" t="str">
        <f>IFERROR(VLOOKUP($B42,'West End 8'!$A:$C,3,FALSE),"")</f>
        <v/>
      </c>
      <c r="P42" s="5" t="str">
        <f>IFERROR(VLOOKUP($B42,'Swithland 6'!$A:$C,3,FALSE),"")</f>
        <v/>
      </c>
      <c r="Q42" s="5" t="str">
        <f>IFERROR(VLOOKUP($B42,'Washlands Relays'!$A:$C,3,FALSE),"")</f>
        <v/>
      </c>
      <c r="R42" s="5" t="str">
        <f>IFERROR(VLOOKUP($B42,'Tara Kinder 10K'!$A:$C,3,FALSE),"")</f>
        <v/>
      </c>
      <c r="S42" s="5" t="str">
        <f>IFERROR(VLOOKUP($B42,'Worthington 6'!$A:$C,3,FALSE),"")</f>
        <v/>
      </c>
      <c r="T42" s="5" t="str">
        <f>IFERROR(VLOOKUP($B42,'Joy Cann 5'!$A:$C,3,FALSE),"")</f>
        <v/>
      </c>
      <c r="U42" s="5" t="str">
        <f>IFERROR(VLOOKUP($B42,'Burton 10k'!$A:$C,3,FALSE),"")</f>
        <v/>
      </c>
      <c r="V42" s="5" t="str">
        <f>IFERROR(VLOOKUP($B42,'Rotherby 8'!$A:$C,3,FALSE),"")</f>
        <v/>
      </c>
      <c r="W42" s="5" t="str">
        <f>IFERROR(VLOOKUP($B42,'Lichfield 10k'!$A:$C,3,FALSE),"")</f>
        <v/>
      </c>
      <c r="X42" s="5" t="str">
        <f>IFERROR(VLOOKUP($B42,'Adrian Smith'!$A:$C,3,FALSE),"")</f>
        <v/>
      </c>
      <c r="Y42" s="5" t="str">
        <f>IFERROR(VLOOKUP($B42,'Tamworth 5'!$A:$C,3,FALSE),"")</f>
        <v/>
      </c>
      <c r="Z42" s="31" t="str">
        <f>IFERROR(VLOOKUP($B42,'Bagworth XC'!$A:$C,3,FALSE),"")</f>
        <v/>
      </c>
      <c r="AA42" s="5" t="str">
        <f>IFERROR(VLOOKUP($B42,'Markfield 10k'!$A:$C,3,FALSE),"")</f>
        <v/>
      </c>
      <c r="AB42" s="5" t="str">
        <f>IFERROR(VLOOKUP($B42,'Shepshed 7'!$A:$C,3,FALSE),"")</f>
        <v/>
      </c>
    </row>
    <row r="43" spans="1:28" x14ac:dyDescent="0.25">
      <c r="A43" s="42">
        <f ca="1">IFERROR(Table2[[#This Row],[Position]],"")</f>
        <v>41</v>
      </c>
      <c r="B43" s="18" t="s">
        <v>29</v>
      </c>
      <c r="C43" s="81">
        <f ca="1">IF(Table2[[#This Row],[Total races]]=0,0,(RANK(E43,$E$3:$E$69)+COUNTIF(E43:$E$67,E43)-1))</f>
        <v>41</v>
      </c>
      <c r="D43" s="5">
        <f>COUNTIF(F43:AB43,"&gt;=0")</f>
        <v>2</v>
      </c>
      <c r="E43" s="5">
        <f t="array" aca="1" ref="E43" ca="1">IF(Table2[[#This Row],[Total races]]&lt;11,SUM(Table2[[#This Row],[Derby 5k]:[Shepshed 7]]),SUM(LARGE(F43:AB43,ROW(INDIRECT("1:10")))))+Table2[[#This Row],[Total races]]*3</f>
        <v>54</v>
      </c>
      <c r="F43" s="5" t="str">
        <f>IFERROR(VLOOKUP(B43,'Derby 5K'!$B$4:$K$15,10,FALSE),"")</f>
        <v/>
      </c>
      <c r="G43" s="5" t="str">
        <f>IFERROR(VLOOKUP(B43,'Grace Dieu XC'!$A:$C,3,FALSE),"")</f>
        <v/>
      </c>
      <c r="H43" s="5" t="str">
        <f>IFERROR(VLOOKUP(B43,'Bosworth XC'!$A:$C,3,FALSE),"")</f>
        <v/>
      </c>
      <c r="I43" s="5" t="str">
        <f>IFERROR(VLOOKUP($B43,'Kibworth 6'!$A:$C,3,FALSE),"")</f>
        <v/>
      </c>
      <c r="J43" s="5" t="str">
        <f>IFERROR(VLOOKUP($B43,'Ivanhoe 20'!$A:$C,3,FALSE),"")</f>
        <v/>
      </c>
      <c r="K43" s="5">
        <f>IFERROR(VLOOKUP($B43,'Run In Forest'!$A:$C,3,FALSE),"")</f>
        <v>21</v>
      </c>
      <c r="L43" s="5" t="str">
        <f>IFERROR(VLOOKUP($B43,'Stilton 7'!$A:$C,3,FALSE),"")</f>
        <v/>
      </c>
      <c r="M43" s="5" t="str">
        <f>IFERROR(VLOOKUP($B43,'Uttoxeter HM'!$A:$C,3,FALSE),"")</f>
        <v/>
      </c>
      <c r="N43" s="5" t="str">
        <f>IFERROR(VLOOKUP($B43,'Bosworth HM'!$A:$C,3,FALSE),"")</f>
        <v/>
      </c>
      <c r="O43" s="5" t="str">
        <f>IFERROR(VLOOKUP($B43,'West End 8'!$A:$C,3,FALSE),"")</f>
        <v/>
      </c>
      <c r="P43" s="5" t="str">
        <f>IFERROR(VLOOKUP($B43,'Swithland 6'!$A:$C,3,FALSE),"")</f>
        <v/>
      </c>
      <c r="Q43" s="5" t="str">
        <f>IFERROR(VLOOKUP($B43,'Washlands Relays'!$A:$C,3,FALSE),"")</f>
        <v/>
      </c>
      <c r="R43" s="5" t="str">
        <f>IFERROR(VLOOKUP($B43,'Tara Kinder 10K'!$A:$C,3,FALSE),"")</f>
        <v/>
      </c>
      <c r="S43" s="5" t="str">
        <f>IFERROR(VLOOKUP($B43,'Worthington 6'!$A:$C,3,FALSE),"")</f>
        <v/>
      </c>
      <c r="T43" s="5" t="str">
        <f>IFERROR(VLOOKUP($B43,'Joy Cann 5'!$A:$C,3,FALSE),"")</f>
        <v/>
      </c>
      <c r="U43" s="5" t="str">
        <f>IFERROR(VLOOKUP($B43,'Burton 10k'!$A:$C,3,FALSE),"")</f>
        <v/>
      </c>
      <c r="V43" s="5" t="str">
        <f>IFERROR(VLOOKUP($B43,'Rotherby 8'!$A:$C,3,FALSE),"")</f>
        <v/>
      </c>
      <c r="W43" s="5" t="str">
        <f>IFERROR(VLOOKUP($B43,'Lichfield 10k'!$A:$C,3,FALSE),"")</f>
        <v/>
      </c>
      <c r="X43" s="5" t="str">
        <f>IFERROR(VLOOKUP($B43,'Adrian Smith'!$A:$C,3,FALSE),"")</f>
        <v/>
      </c>
      <c r="Y43" s="5" t="str">
        <f>IFERROR(VLOOKUP($B43,'Tamworth 5'!$A:$C,3,FALSE),"")</f>
        <v/>
      </c>
      <c r="Z43" s="31" t="str">
        <f>IFERROR(VLOOKUP($B43,'Bagworth XC'!$A:$C,3,FALSE),"")</f>
        <v/>
      </c>
      <c r="AA43" s="5">
        <f>IFERROR(VLOOKUP($B43,'Markfield 10k'!$A:$C,3,FALSE),"")</f>
        <v>27</v>
      </c>
      <c r="AB43" s="5" t="str">
        <f>IFERROR(VLOOKUP($B43,'Shepshed 7'!$A:$C,3,FALSE),"")</f>
        <v/>
      </c>
    </row>
    <row r="44" spans="1:28" x14ac:dyDescent="0.25">
      <c r="A44" s="42">
        <f ca="1">IFERROR(Table2[[#This Row],[Position]],"")</f>
        <v>42</v>
      </c>
      <c r="B44" s="18" t="s">
        <v>125</v>
      </c>
      <c r="C44" s="81">
        <f ca="1">IF(Table2[[#This Row],[Total races]]=0,0,(RANK(E44,$E$3:$E$69)+COUNTIF(E44:$E$67,E44)-1))</f>
        <v>42</v>
      </c>
      <c r="D44" s="5">
        <f>COUNTIF(F44:AB44,"&gt;=0")</f>
        <v>3</v>
      </c>
      <c r="E44" s="5">
        <f t="array" aca="1" ref="E44" ca="1">IF(Table2[[#This Row],[Total races]]&lt;11,SUM(Table2[[#This Row],[Derby 5k]:[Shepshed 7]]),SUM(LARGE(F44:AB44,ROW(INDIRECT("1:10")))))+Table2[[#This Row],[Total races]]*3</f>
        <v>52</v>
      </c>
      <c r="F44" s="5" t="str">
        <f>IFERROR(VLOOKUP(B44,'Derby 5K'!$B$4:$K$15,10,FALSE),"")</f>
        <v/>
      </c>
      <c r="G44" s="5" t="str">
        <f>IFERROR(VLOOKUP(B44,'Grace Dieu XC'!$A:$C,3,FALSE),"")</f>
        <v/>
      </c>
      <c r="H44" s="5" t="str">
        <f>IFERROR(VLOOKUP(B44,'Bosworth XC'!$A:$C,3,FALSE),"")</f>
        <v/>
      </c>
      <c r="I44" s="5" t="str">
        <f>IFERROR(VLOOKUP($B44,'Kibworth 6'!$A:$C,3,FALSE),"")</f>
        <v/>
      </c>
      <c r="J44" s="5" t="str">
        <f>IFERROR(VLOOKUP($B44,'Ivanhoe 20'!$A:$C,3,FALSE),"")</f>
        <v/>
      </c>
      <c r="K44" s="5" t="str">
        <f>IFERROR(VLOOKUP($B44,'Run In Forest'!$A:$C,3,FALSE),"")</f>
        <v/>
      </c>
      <c r="L44" s="5" t="str">
        <f>IFERROR(VLOOKUP($B44,'Stilton 7'!$A:$C,3,FALSE),"")</f>
        <v/>
      </c>
      <c r="M44" s="5" t="str">
        <f>IFERROR(VLOOKUP($B44,'Uttoxeter HM'!$A:$C,3,FALSE),"")</f>
        <v/>
      </c>
      <c r="N44" s="5" t="str">
        <f>IFERROR(VLOOKUP($B44,'Bosworth HM'!$A:$C,3,FALSE),"")</f>
        <v/>
      </c>
      <c r="O44" s="5" t="str">
        <f>IFERROR(VLOOKUP($B44,'West End 8'!$A:$C,3,FALSE),"")</f>
        <v/>
      </c>
      <c r="P44" s="5" t="str">
        <f>IFERROR(VLOOKUP($B44,'Swithland 6'!$A:$C,3,FALSE),"")</f>
        <v/>
      </c>
      <c r="Q44" s="5">
        <f>IFERROR(VLOOKUP($B44,'Washlands Relays'!$A:$C,3,FALSE),"")</f>
        <v>1</v>
      </c>
      <c r="R44" s="5" t="str">
        <f>IFERROR(VLOOKUP($B44,'Tara Kinder 10K'!$A:$C,3,FALSE),"")</f>
        <v/>
      </c>
      <c r="S44" s="5" t="str">
        <f>IFERROR(VLOOKUP($B44,'Worthington 6'!$A:$C,3,FALSE),"")</f>
        <v/>
      </c>
      <c r="T44" s="5" t="str">
        <f>IFERROR(VLOOKUP($B44,'Joy Cann 5'!$A:$C,3,FALSE),"")</f>
        <v/>
      </c>
      <c r="U44" s="5">
        <f>IFERROR(VLOOKUP($B44,'Burton 10k'!$A:$C,3,FALSE),"")</f>
        <v>21</v>
      </c>
      <c r="V44" s="5" t="str">
        <f>IFERROR(VLOOKUP($B44,'Rotherby 8'!$A:$C,3,FALSE),"")</f>
        <v/>
      </c>
      <c r="W44" s="5" t="str">
        <f>IFERROR(VLOOKUP($B44,'Lichfield 10k'!$A:$C,3,FALSE),"")</f>
        <v/>
      </c>
      <c r="X44" s="5">
        <f>IFERROR(VLOOKUP($B44,'Adrian Smith'!$A:$C,3,FALSE),"")</f>
        <v>21</v>
      </c>
      <c r="Y44" s="5" t="str">
        <f>IFERROR(VLOOKUP($B44,'Tamworth 5'!$A:$C,3,FALSE),"")</f>
        <v/>
      </c>
      <c r="Z44" s="31" t="str">
        <f>IFERROR(VLOOKUP($B44,'Bagworth XC'!$A:$C,3,FALSE),"")</f>
        <v/>
      </c>
      <c r="AA44" s="5" t="str">
        <f>IFERROR(VLOOKUP($B44,'Markfield 10k'!$A:$C,3,FALSE),"")</f>
        <v/>
      </c>
      <c r="AB44" s="5" t="str">
        <f>IFERROR(VLOOKUP($B44,'Shepshed 7'!$A:$C,3,FALSE),"")</f>
        <v/>
      </c>
    </row>
    <row r="45" spans="1:28" x14ac:dyDescent="0.25">
      <c r="A45" s="42">
        <f ca="1">IFERROR(Table2[[#This Row],[Position]],"")</f>
        <v>43</v>
      </c>
      <c r="B45" s="18" t="s">
        <v>37</v>
      </c>
      <c r="C45" s="81">
        <f ca="1">IF(Table2[[#This Row],[Total races]]=0,0,(RANK(E45,$E$3:$E$69)+COUNTIF(E45:$E$67,E45)-1))</f>
        <v>43</v>
      </c>
      <c r="D45" s="5">
        <f>COUNTIF(F45:AB45,"&gt;=0")</f>
        <v>2</v>
      </c>
      <c r="E45" s="5">
        <f t="array" aca="1" ref="E45" ca="1">IF(Table2[[#This Row],[Total races]]&lt;11,SUM(Table2[[#This Row],[Derby 5k]:[Shepshed 7]]),SUM(LARGE(F45:AB45,ROW(INDIRECT("1:10")))))+Table2[[#This Row],[Total races]]*3</f>
        <v>44</v>
      </c>
      <c r="F45" s="5" t="str">
        <f>IFERROR(VLOOKUP(B45,'Derby 5K'!$B$4:$K$15,10,FALSE),"")</f>
        <v/>
      </c>
      <c r="G45" s="5" t="str">
        <f>IFERROR(VLOOKUP(B45,'Grace Dieu XC'!$A:$C,3,FALSE),"")</f>
        <v/>
      </c>
      <c r="H45" s="5" t="str">
        <f>IFERROR(VLOOKUP(B45,'Bosworth XC'!$A:$C,3,FALSE),"")</f>
        <v/>
      </c>
      <c r="I45" s="5" t="str">
        <f>IFERROR(VLOOKUP($B45,'Kibworth 6'!$A:$C,3,FALSE),"")</f>
        <v/>
      </c>
      <c r="J45" s="5" t="str">
        <f>IFERROR(VLOOKUP($B45,'Ivanhoe 20'!$A:$C,3,FALSE),"")</f>
        <v/>
      </c>
      <c r="K45" s="5" t="str">
        <f>IFERROR(VLOOKUP($B45,'Run In Forest'!$A:$C,3,FALSE),"")</f>
        <v/>
      </c>
      <c r="L45" s="5" t="str">
        <f>IFERROR(VLOOKUP($B45,'Stilton 7'!$A:$C,3,FALSE),"")</f>
        <v/>
      </c>
      <c r="M45" s="5" t="str">
        <f>IFERROR(VLOOKUP($B45,'Uttoxeter HM'!$A:$C,3,FALSE),"")</f>
        <v/>
      </c>
      <c r="N45" s="5" t="str">
        <f>IFERROR(VLOOKUP($B45,'Bosworth HM'!$A:$C,3,FALSE),"")</f>
        <v/>
      </c>
      <c r="O45" s="5" t="str">
        <f>IFERROR(VLOOKUP($B45,'West End 8'!$A:$C,3,FALSE),"")</f>
        <v/>
      </c>
      <c r="P45" s="5" t="str">
        <f>IFERROR(VLOOKUP($B45,'Swithland 6'!$A:$C,3,FALSE),"")</f>
        <v/>
      </c>
      <c r="Q45" s="5">
        <f>IFERROR(VLOOKUP($B45,'Washlands Relays'!$A:$C,3,FALSE),"")</f>
        <v>17</v>
      </c>
      <c r="R45" s="5" t="str">
        <f>IFERROR(VLOOKUP($B45,'Tara Kinder 10K'!$A:$C,3,FALSE),"")</f>
        <v/>
      </c>
      <c r="S45" s="5">
        <f>IFERROR(VLOOKUP($B45,'Worthington 6'!$A:$C,3,FALSE),"")</f>
        <v>21</v>
      </c>
      <c r="T45" s="5" t="str">
        <f>IFERROR(VLOOKUP($B45,'Joy Cann 5'!$A:$C,3,FALSE),"")</f>
        <v/>
      </c>
      <c r="U45" s="5" t="str">
        <f>IFERROR(VLOOKUP($B45,'Burton 10k'!$A:$C,3,FALSE),"")</f>
        <v/>
      </c>
      <c r="V45" s="5" t="str">
        <f>IFERROR(VLOOKUP($B45,'Rotherby 8'!$A:$C,3,FALSE),"")</f>
        <v/>
      </c>
      <c r="W45" s="5" t="str">
        <f>IFERROR(VLOOKUP($B45,'Lichfield 10k'!$A:$C,3,FALSE),"")</f>
        <v/>
      </c>
      <c r="X45" s="5" t="str">
        <f>IFERROR(VLOOKUP($B45,'Adrian Smith'!$A:$C,3,FALSE),"")</f>
        <v/>
      </c>
      <c r="Y45" s="5" t="str">
        <f>IFERROR(VLOOKUP($B45,'Tamworth 5'!$A:$C,3,FALSE),"")</f>
        <v/>
      </c>
      <c r="Z45" s="31" t="str">
        <f>IFERROR(VLOOKUP($B45,'Bagworth XC'!$A:$C,3,FALSE),"")</f>
        <v/>
      </c>
      <c r="AA45" s="5" t="str">
        <f>IFERROR(VLOOKUP($B45,'Markfield 10k'!$A:$C,3,FALSE),"")</f>
        <v/>
      </c>
      <c r="AB45" s="5" t="str">
        <f>IFERROR(VLOOKUP($B45,'Shepshed 7'!$A:$C,3,FALSE),"")</f>
        <v/>
      </c>
    </row>
    <row r="46" spans="1:28" x14ac:dyDescent="0.25">
      <c r="A46" s="42">
        <f ca="1">IFERROR(Table2[[#This Row],[Position]],"")</f>
        <v>44</v>
      </c>
      <c r="B46" s="18" t="s">
        <v>74</v>
      </c>
      <c r="C46" s="81">
        <f ca="1">IF(Table2[[#This Row],[Total races]]=0,0,(RANK(E46,$E$3:$E$69)+COUNTIF(E46:$E$67,E46)-1))</f>
        <v>44</v>
      </c>
      <c r="D46" s="5">
        <f>COUNTIF(F46:AB46,"&gt;=0")</f>
        <v>2</v>
      </c>
      <c r="E46" s="5">
        <f t="array" aca="1" ref="E46" ca="1">IF(Table2[[#This Row],[Total races]]&lt;11,SUM(Table2[[#This Row],[Derby 5k]:[Shepshed 7]]),SUM(LARGE(F46:AB46,ROW(INDIRECT("1:10")))))+Table2[[#This Row],[Total races]]*3</f>
        <v>42</v>
      </c>
      <c r="F46" s="5" t="str">
        <f>IFERROR(VLOOKUP(B46,'Derby 5K'!$B$4:$K$15,10,FALSE),"")</f>
        <v/>
      </c>
      <c r="G46" s="5" t="str">
        <f>IFERROR(VLOOKUP(B46,'Grace Dieu XC'!$A:$C,3,FALSE),"")</f>
        <v/>
      </c>
      <c r="H46" s="5" t="str">
        <f>IFERROR(VLOOKUP(B46,'Bosworth XC'!$A:$C,3,FALSE),"")</f>
        <v/>
      </c>
      <c r="I46" s="5" t="str">
        <f>IFERROR(VLOOKUP($B46,'Kibworth 6'!$A:$C,3,FALSE),"")</f>
        <v/>
      </c>
      <c r="J46" s="5">
        <f>IFERROR(VLOOKUP($B46,'Ivanhoe 20'!$A:$C,3,FALSE),"")</f>
        <v>19</v>
      </c>
      <c r="K46" s="5" t="str">
        <f>IFERROR(VLOOKUP($B46,'Run In Forest'!$A:$C,3,FALSE),"")</f>
        <v/>
      </c>
      <c r="L46" s="5" t="str">
        <f>IFERROR(VLOOKUP($B46,'Stilton 7'!$A:$C,3,FALSE),"")</f>
        <v/>
      </c>
      <c r="M46" s="5" t="str">
        <f>IFERROR(VLOOKUP($B46,'Uttoxeter HM'!$A:$C,3,FALSE),"")</f>
        <v/>
      </c>
      <c r="N46" s="5" t="str">
        <f>IFERROR(VLOOKUP($B46,'Bosworth HM'!$A:$C,3,FALSE),"")</f>
        <v/>
      </c>
      <c r="O46" s="5">
        <f>IFERROR(VLOOKUP($B46,'West End 8'!$A:$C,3,FALSE),"")</f>
        <v>17</v>
      </c>
      <c r="P46" s="5" t="str">
        <f>IFERROR(VLOOKUP($B46,'Swithland 6'!$A:$C,3,FALSE),"")</f>
        <v/>
      </c>
      <c r="Q46" s="5" t="str">
        <f>IFERROR(VLOOKUP($B46,'Washlands Relays'!$A:$C,3,FALSE),"")</f>
        <v/>
      </c>
      <c r="R46" s="5" t="str">
        <f>IFERROR(VLOOKUP($B46,'Tara Kinder 10K'!$A:$C,3,FALSE),"")</f>
        <v/>
      </c>
      <c r="S46" s="5" t="str">
        <f>IFERROR(VLOOKUP($B46,'Worthington 6'!$A:$C,3,FALSE),"")</f>
        <v/>
      </c>
      <c r="T46" s="5" t="str">
        <f>IFERROR(VLOOKUP($B46,'Joy Cann 5'!$A:$C,3,FALSE),"")</f>
        <v/>
      </c>
      <c r="U46" s="5" t="str">
        <f>IFERROR(VLOOKUP($B46,'Burton 10k'!$A:$C,3,FALSE),"")</f>
        <v/>
      </c>
      <c r="V46" s="5" t="str">
        <f>IFERROR(VLOOKUP($B46,'Rotherby 8'!$A:$C,3,FALSE),"")</f>
        <v/>
      </c>
      <c r="W46" s="5" t="str">
        <f>IFERROR(VLOOKUP($B46,'Lichfield 10k'!$A:$C,3,FALSE),"")</f>
        <v/>
      </c>
      <c r="X46" s="5" t="str">
        <f>IFERROR(VLOOKUP($B46,'Adrian Smith'!$A:$C,3,FALSE),"")</f>
        <v/>
      </c>
      <c r="Y46" s="5" t="str">
        <f>IFERROR(VLOOKUP($B46,'Tamworth 5'!$A:$C,3,FALSE),"")</f>
        <v/>
      </c>
      <c r="Z46" s="31" t="str">
        <f>IFERROR(VLOOKUP($B46,'Bagworth XC'!$A:$C,3,FALSE),"")</f>
        <v/>
      </c>
      <c r="AA46" s="5" t="str">
        <f>IFERROR(VLOOKUP($B46,'Markfield 10k'!$A:$C,3,FALSE),"")</f>
        <v/>
      </c>
      <c r="AB46" s="5" t="str">
        <f>IFERROR(VLOOKUP($B46,'Shepshed 7'!$A:$C,3,FALSE),"")</f>
        <v/>
      </c>
    </row>
    <row r="47" spans="1:28" ht="15.75" thickBot="1" x14ac:dyDescent="0.3">
      <c r="A47" s="42">
        <f ca="1">IFERROR(Table2[[#This Row],[Position]],"")</f>
        <v>45</v>
      </c>
      <c r="B47" s="19" t="s">
        <v>263</v>
      </c>
      <c r="C47" s="81">
        <f ca="1">IF(Table2[[#This Row],[Total races]]=0,0,(RANK(E47,$E$3:$E$69)+COUNTIF(E47:$E$67,E47)-1))</f>
        <v>45</v>
      </c>
      <c r="D47" s="5">
        <f>COUNTIF(F47:AB47,"&gt;=0")</f>
        <v>2</v>
      </c>
      <c r="E47" s="5">
        <f t="array" aca="1" ref="E47" ca="1">IF(Table2[[#This Row],[Total races]]&lt;11,SUM(Table2[[#This Row],[Derby 5k]:[Shepshed 7]]),SUM(LARGE(F47:AB47,ROW(INDIRECT("1:10")))))+Table2[[#This Row],[Total races]]*3</f>
        <v>41</v>
      </c>
      <c r="F47" s="5" t="str">
        <f>IFERROR(VLOOKUP(B47,'Derby 5K'!$B$4:$K$15,10,FALSE),"")</f>
        <v/>
      </c>
      <c r="G47" s="5" t="str">
        <f>IFERROR(VLOOKUP(B47,'Grace Dieu XC'!$A:$C,3,FALSE),"")</f>
        <v/>
      </c>
      <c r="H47" s="5" t="str">
        <f>IFERROR(VLOOKUP(B47,'Bosworth XC'!$A:$C,3,FALSE),"")</f>
        <v/>
      </c>
      <c r="I47" s="5" t="str">
        <f>IFERROR(VLOOKUP($B47,'Kibworth 6'!$A:$C,3,FALSE),"")</f>
        <v/>
      </c>
      <c r="J47" s="5" t="str">
        <f>IFERROR(VLOOKUP($B47,'Ivanhoe 20'!$A:$C,3,FALSE),"")</f>
        <v/>
      </c>
      <c r="K47" s="5" t="str">
        <f>IFERROR(VLOOKUP($B47,'Run In Forest'!$A:$C,3,FALSE),"")</f>
        <v/>
      </c>
      <c r="L47" s="5" t="str">
        <f>IFERROR(VLOOKUP($B47,'Stilton 7'!$A:$C,3,FALSE),"")</f>
        <v/>
      </c>
      <c r="M47" s="5" t="str">
        <f>IFERROR(VLOOKUP($B47,'Uttoxeter HM'!$A:$C,3,FALSE),"")</f>
        <v/>
      </c>
      <c r="N47" s="5" t="str">
        <f>IFERROR(VLOOKUP($B47,'Bosworth HM'!$A:$C,3,FALSE),"")</f>
        <v/>
      </c>
      <c r="O47" s="5">
        <f>IFERROR(VLOOKUP($B47,'West End 8'!$A:$C,3,FALSE),"")</f>
        <v>18</v>
      </c>
      <c r="P47" s="5" t="str">
        <f>IFERROR(VLOOKUP($B47,'Swithland 6'!$A:$C,3,FALSE),"")</f>
        <v/>
      </c>
      <c r="Q47" s="5" t="str">
        <f>IFERROR(VLOOKUP($B47,'Washlands Relays'!$A:$C,3,FALSE),"")</f>
        <v/>
      </c>
      <c r="R47" s="5" t="str">
        <f>IFERROR(VLOOKUP($B47,'Tara Kinder 10K'!$A:$C,3,FALSE),"")</f>
        <v/>
      </c>
      <c r="S47" s="5">
        <f>IFERROR(VLOOKUP($B47,'Worthington 6'!$A:$C,3,FALSE),"")</f>
        <v>17</v>
      </c>
      <c r="T47" s="5" t="str">
        <f>IFERROR(VLOOKUP($B47,'Joy Cann 5'!$A:$C,3,FALSE),"")</f>
        <v/>
      </c>
      <c r="U47" s="5" t="str">
        <f>IFERROR(VLOOKUP($B47,'Burton 10k'!$A:$C,3,FALSE),"")</f>
        <v/>
      </c>
      <c r="V47" s="5" t="str">
        <f>IFERROR(VLOOKUP($B47,'Rotherby 8'!$A:$C,3,FALSE),"")</f>
        <v/>
      </c>
      <c r="W47" s="5" t="str">
        <f>IFERROR(VLOOKUP($B47,'Lichfield 10k'!$A:$C,3,FALSE),"")</f>
        <v/>
      </c>
      <c r="X47" s="5" t="str">
        <f>IFERROR(VLOOKUP($B47,'Adrian Smith'!$A:$C,3,FALSE),"")</f>
        <v/>
      </c>
      <c r="Y47" s="5" t="str">
        <f>IFERROR(VLOOKUP($B47,'Tamworth 5'!$A:$C,3,FALSE),"")</f>
        <v/>
      </c>
      <c r="Z47" s="31" t="str">
        <f>IFERROR(VLOOKUP($B47,'Bagworth XC'!$A:$C,3,FALSE),"")</f>
        <v/>
      </c>
      <c r="AA47" s="5" t="str">
        <f>IFERROR(VLOOKUP($B47,'Markfield 10k'!$A:$C,3,FALSE),"")</f>
        <v/>
      </c>
      <c r="AB47" s="5" t="str">
        <f>IFERROR(VLOOKUP($B47,'Shepshed 7'!$A:$C,3,FALSE),"")</f>
        <v/>
      </c>
    </row>
    <row r="48" spans="1:28" ht="15.75" thickBot="1" x14ac:dyDescent="0.3">
      <c r="A48" s="42">
        <f ca="1">IFERROR(Table2[[#This Row],[Position]],"")</f>
        <v>47</v>
      </c>
      <c r="B48" s="19" t="s">
        <v>132</v>
      </c>
      <c r="C48" s="81">
        <f ca="1">IF(Table2[[#This Row],[Total races]]=0,0,(RANK(E48,$E$3:$E$69)+COUNTIF(E48:$E$67,E48)-1))</f>
        <v>47</v>
      </c>
      <c r="D48" s="5">
        <f>COUNTIF(F48:AB48,"&gt;=0")</f>
        <v>2</v>
      </c>
      <c r="E48" s="5">
        <f t="array" aca="1" ref="E48" ca="1">IF(Table2[[#This Row],[Total races]]&lt;11,SUM(Table2[[#This Row],[Derby 5k]:[Shepshed 7]]),SUM(LARGE(F48:AB48,ROW(INDIRECT("1:10")))))+Table2[[#This Row],[Total races]]*3</f>
        <v>38</v>
      </c>
      <c r="F48" s="5" t="str">
        <f>IFERROR(VLOOKUP(B48,'Derby 5K'!$B$4:$K$15,10,FALSE),"")</f>
        <v/>
      </c>
      <c r="G48" s="5" t="str">
        <f>IFERROR(VLOOKUP(B48,'Grace Dieu XC'!$A:$C,3,FALSE),"")</f>
        <v/>
      </c>
      <c r="H48" s="5">
        <f>IFERROR(VLOOKUP(B48,'Bosworth XC'!$A:$C,3,FALSE),"")</f>
        <v>20</v>
      </c>
      <c r="I48" s="5" t="str">
        <f>IFERROR(VLOOKUP($B48,'Kibworth 6'!$A:$C,3,FALSE),"")</f>
        <v/>
      </c>
      <c r="J48" s="5" t="str">
        <f>IFERROR(VLOOKUP($B48,'Ivanhoe 20'!$A:$C,3,FALSE),"")</f>
        <v/>
      </c>
      <c r="K48" s="5" t="str">
        <f>IFERROR(VLOOKUP($B48,'Run In Forest'!$A:$C,3,FALSE),"")</f>
        <v/>
      </c>
      <c r="L48" s="5" t="str">
        <f>IFERROR(VLOOKUP($B48,'Stilton 7'!$A:$C,3,FALSE),"")</f>
        <v/>
      </c>
      <c r="M48" s="5" t="str">
        <f>IFERROR(VLOOKUP($B48,'Uttoxeter HM'!$A:$C,3,FALSE),"")</f>
        <v/>
      </c>
      <c r="N48" s="5" t="str">
        <f>IFERROR(VLOOKUP($B48,'Bosworth HM'!$A:$C,3,FALSE),"")</f>
        <v/>
      </c>
      <c r="O48" s="5" t="str">
        <f>IFERROR(VLOOKUP($B48,'West End 8'!$A:$C,3,FALSE),"")</f>
        <v/>
      </c>
      <c r="P48" s="5" t="str">
        <f>IFERROR(VLOOKUP($B48,'Swithland 6'!$A:$C,3,FALSE),"")</f>
        <v/>
      </c>
      <c r="Q48" s="5" t="str">
        <f>IFERROR(VLOOKUP($B48,'Washlands Relays'!$A:$C,3,FALSE),"")</f>
        <v/>
      </c>
      <c r="R48" s="5" t="str">
        <f>IFERROR(VLOOKUP($B48,'Tara Kinder 10K'!$A:$C,3,FALSE),"")</f>
        <v/>
      </c>
      <c r="S48" s="5" t="str">
        <f>IFERROR(VLOOKUP($B48,'Worthington 6'!$A:$C,3,FALSE),"")</f>
        <v/>
      </c>
      <c r="T48" s="5" t="str">
        <f>IFERROR(VLOOKUP($B48,'Joy Cann 5'!$A:$C,3,FALSE),"")</f>
        <v/>
      </c>
      <c r="U48" s="5" t="str">
        <f>IFERROR(VLOOKUP($B48,'Burton 10k'!$A:$C,3,FALSE),"")</f>
        <v/>
      </c>
      <c r="V48" s="5" t="str">
        <f>IFERROR(VLOOKUP($B48,'Rotherby 8'!$A:$C,3,FALSE),"")</f>
        <v/>
      </c>
      <c r="W48" s="5" t="str">
        <f>IFERROR(VLOOKUP($B48,'Lichfield 10k'!$A:$C,3,FALSE),"")</f>
        <v/>
      </c>
      <c r="X48" s="5" t="str">
        <f>IFERROR(VLOOKUP($B48,'Adrian Smith'!$A:$C,3,FALSE),"")</f>
        <v/>
      </c>
      <c r="Y48" s="5" t="str">
        <f>IFERROR(VLOOKUP($B48,'Tamworth 5'!$A:$C,3,FALSE),"")</f>
        <v/>
      </c>
      <c r="Z48" s="31">
        <f>IFERROR(VLOOKUP($B48,'Bagworth XC'!$A:$C,3,FALSE),"")</f>
        <v>12</v>
      </c>
      <c r="AA48" s="5" t="str">
        <f>IFERROR(VLOOKUP($B48,'Markfield 10k'!$A:$C,3,FALSE),"")</f>
        <v/>
      </c>
      <c r="AB48" s="5" t="str">
        <f>IFERROR(VLOOKUP($B48,'Shepshed 7'!$A:$C,3,FALSE),"")</f>
        <v/>
      </c>
    </row>
    <row r="49" spans="1:28" ht="15.75" thickBot="1" x14ac:dyDescent="0.3">
      <c r="A49" s="42">
        <f ca="1">IFERROR(Table2[[#This Row],[Position]],"")</f>
        <v>46</v>
      </c>
      <c r="B49" s="19" t="s">
        <v>323</v>
      </c>
      <c r="C49" s="81">
        <f ca="1">IF(Table2[[#This Row],[Total races]]=0,0,(RANK(E49,$E$3:$E$69)+COUNTIF(E49:$E$67,E49)-1))</f>
        <v>46</v>
      </c>
      <c r="D49" s="5">
        <f>COUNTIF(F49:AB49,"&gt;=0")</f>
        <v>2</v>
      </c>
      <c r="E49" s="5">
        <f t="array" aca="1" ref="E49" ca="1">IF(Table2[[#This Row],[Total races]]&lt;11,SUM(Table2[[#This Row],[Derby 5k]:[Shepshed 7]]),SUM(LARGE(F49:AB49,ROW(INDIRECT("1:10")))))+Table2[[#This Row],[Total races]]*3</f>
        <v>38</v>
      </c>
      <c r="F49" s="5" t="str">
        <f>IFERROR(VLOOKUP(B49,'Derby 5K'!$B$4:$K$15,10,FALSE),"")</f>
        <v/>
      </c>
      <c r="G49" s="5" t="str">
        <f>IFERROR(VLOOKUP(B49,'Grace Dieu XC'!$A:$C,3,FALSE),"")</f>
        <v/>
      </c>
      <c r="H49" s="5" t="str">
        <f>IFERROR(VLOOKUP(B49,'Bosworth XC'!$A:$C,3,FALSE),"")</f>
        <v/>
      </c>
      <c r="I49" s="5" t="str">
        <f>IFERROR(VLOOKUP($B49,'Kibworth 6'!$A:$C,3,FALSE),"")</f>
        <v/>
      </c>
      <c r="J49" s="5" t="str">
        <f>IFERROR(VLOOKUP($B49,'Ivanhoe 20'!$A:$C,3,FALSE),"")</f>
        <v/>
      </c>
      <c r="K49" s="5" t="str">
        <f>IFERROR(VLOOKUP($B49,'Run In Forest'!$A:$C,3,FALSE),"")</f>
        <v/>
      </c>
      <c r="L49" s="5" t="str">
        <f>IFERROR(VLOOKUP($B49,'Stilton 7'!$A:$C,3,FALSE),"")</f>
        <v/>
      </c>
      <c r="M49" s="5" t="str">
        <f>IFERROR(VLOOKUP($B49,'Uttoxeter HM'!$A:$C,3,FALSE),"")</f>
        <v/>
      </c>
      <c r="N49" s="5" t="str">
        <f>IFERROR(VLOOKUP($B49,'Bosworth HM'!$A:$C,3,FALSE),"")</f>
        <v/>
      </c>
      <c r="O49" s="5" t="str">
        <f>IFERROR(VLOOKUP($B49,'West End 8'!$A:$C,3,FALSE),"")</f>
        <v/>
      </c>
      <c r="P49" s="5" t="str">
        <f>IFERROR(VLOOKUP($B49,'Swithland 6'!$A:$C,3,FALSE),"")</f>
        <v/>
      </c>
      <c r="Q49" s="5">
        <f>IFERROR(VLOOKUP($B49,'Washlands Relays'!$A:$C,3,FALSE),"")</f>
        <v>12</v>
      </c>
      <c r="R49" s="5" t="str">
        <f>IFERROR(VLOOKUP($B49,'Tara Kinder 10K'!$A:$C,3,FALSE),"")</f>
        <v/>
      </c>
      <c r="S49" s="5">
        <f>IFERROR(VLOOKUP($B49,'Worthington 6'!$A:$C,3,FALSE),"")</f>
        <v>20</v>
      </c>
      <c r="T49" s="5" t="str">
        <f>IFERROR(VLOOKUP($B49,'Joy Cann 5'!$A:$C,3,FALSE),"")</f>
        <v/>
      </c>
      <c r="U49" s="5" t="str">
        <f>IFERROR(VLOOKUP($B49,'Burton 10k'!$A:$C,3,FALSE),"")</f>
        <v/>
      </c>
      <c r="V49" s="5" t="str">
        <f>IFERROR(VLOOKUP($B49,'Rotherby 8'!$A:$C,3,FALSE),"")</f>
        <v/>
      </c>
      <c r="W49" s="5" t="str">
        <f>IFERROR(VLOOKUP($B49,'Lichfield 10k'!$A:$C,3,FALSE),"")</f>
        <v/>
      </c>
      <c r="X49" s="5" t="str">
        <f>IFERROR(VLOOKUP($B49,'Adrian Smith'!$A:$C,3,FALSE),"")</f>
        <v/>
      </c>
      <c r="Y49" s="5" t="str">
        <f>IFERROR(VLOOKUP($B49,'Tamworth 5'!$A:$C,3,FALSE),"")</f>
        <v/>
      </c>
      <c r="Z49" s="31" t="str">
        <f>IFERROR(VLOOKUP($B49,'Bagworth XC'!$A:$C,3,FALSE),"")</f>
        <v/>
      </c>
      <c r="AA49" s="5" t="str">
        <f>IFERROR(VLOOKUP($B49,'Markfield 10k'!$A:$C,3,FALSE),"")</f>
        <v/>
      </c>
      <c r="AB49" s="5" t="str">
        <f>IFERROR(VLOOKUP($B49,'Shepshed 7'!$A:$C,3,FALSE),"")</f>
        <v/>
      </c>
    </row>
    <row r="50" spans="1:28" ht="15.75" thickBot="1" x14ac:dyDescent="0.3">
      <c r="A50" s="42">
        <f ca="1">IFERROR(Table2[[#This Row],[Position]],"")</f>
        <v>48</v>
      </c>
      <c r="B50" s="19" t="s">
        <v>101</v>
      </c>
      <c r="C50" s="81">
        <f ca="1">IF(Table2[[#This Row],[Total races]]=0,0,(RANK(E50,$E$3:$E$69)+COUNTIF(E50:$E$67,E50)-1))</f>
        <v>48</v>
      </c>
      <c r="D50" s="5">
        <f>COUNTIF(F50:AB50,"&gt;=0")</f>
        <v>2</v>
      </c>
      <c r="E50" s="5">
        <f t="array" aca="1" ref="E50" ca="1">IF(Table2[[#This Row],[Total races]]&lt;11,SUM(Table2[[#This Row],[Derby 5k]:[Shepshed 7]]),SUM(LARGE(F50:AB50,ROW(INDIRECT("1:10")))))+Table2[[#This Row],[Total races]]*3</f>
        <v>36</v>
      </c>
      <c r="F50" s="5" t="str">
        <f>IFERROR(VLOOKUP(B50,'Derby 5K'!$B$4:$K$15,10,FALSE),"")</f>
        <v/>
      </c>
      <c r="G50" s="5" t="str">
        <f>IFERROR(VLOOKUP(B50,'Grace Dieu XC'!$A:$C,3,FALSE),"")</f>
        <v/>
      </c>
      <c r="H50" s="5" t="str">
        <f>IFERROR(VLOOKUP(B50,'Bosworth XC'!$A:$C,3,FALSE),"")</f>
        <v/>
      </c>
      <c r="I50" s="5" t="str">
        <f>IFERROR(VLOOKUP($B50,'Kibworth 6'!$A:$C,3,FALSE),"")</f>
        <v/>
      </c>
      <c r="J50" s="5" t="str">
        <f>IFERROR(VLOOKUP($B50,'Ivanhoe 20'!$A:$C,3,FALSE),"")</f>
        <v/>
      </c>
      <c r="K50" s="5" t="str">
        <f>IFERROR(VLOOKUP($B50,'Run In Forest'!$A:$C,3,FALSE),"")</f>
        <v/>
      </c>
      <c r="L50" s="5" t="str">
        <f>IFERROR(VLOOKUP($B50,'Stilton 7'!$A:$C,3,FALSE),"")</f>
        <v/>
      </c>
      <c r="M50" s="5" t="str">
        <f>IFERROR(VLOOKUP($B50,'Uttoxeter HM'!$A:$C,3,FALSE),"")</f>
        <v/>
      </c>
      <c r="N50" s="5" t="str">
        <f>IFERROR(VLOOKUP($B50,'Bosworth HM'!$A:$C,3,FALSE),"")</f>
        <v/>
      </c>
      <c r="O50" s="5">
        <f>IFERROR(VLOOKUP($B50,'West End 8'!$A:$C,3,FALSE),"")</f>
        <v>11</v>
      </c>
      <c r="P50" s="5" t="str">
        <f>IFERROR(VLOOKUP($B50,'Swithland 6'!$A:$C,3,FALSE),"")</f>
        <v/>
      </c>
      <c r="Q50" s="5" t="str">
        <f>IFERROR(VLOOKUP($B50,'Washlands Relays'!$A:$C,3,FALSE),"")</f>
        <v/>
      </c>
      <c r="R50" s="5" t="str">
        <f>IFERROR(VLOOKUP($B50,'Tara Kinder 10K'!$A:$C,3,FALSE),"")</f>
        <v/>
      </c>
      <c r="S50" s="5" t="str">
        <f>IFERROR(VLOOKUP($B50,'Worthington 6'!$A:$C,3,FALSE),"")</f>
        <v/>
      </c>
      <c r="T50" s="5" t="str">
        <f>IFERROR(VLOOKUP($B50,'Joy Cann 5'!$A:$C,3,FALSE),"")</f>
        <v/>
      </c>
      <c r="U50" s="5">
        <f>IFERROR(VLOOKUP($B50,'Burton 10k'!$A:$C,3,FALSE),"")</f>
        <v>19</v>
      </c>
      <c r="V50" s="5" t="str">
        <f>IFERROR(VLOOKUP($B50,'Rotherby 8'!$A:$C,3,FALSE),"")</f>
        <v/>
      </c>
      <c r="W50" s="5" t="str">
        <f>IFERROR(VLOOKUP($B50,'Lichfield 10k'!$A:$C,3,FALSE),"")</f>
        <v/>
      </c>
      <c r="X50" s="5" t="str">
        <f>IFERROR(VLOOKUP($B50,'Adrian Smith'!$A:$C,3,FALSE),"")</f>
        <v/>
      </c>
      <c r="Y50" s="5" t="str">
        <f>IFERROR(VLOOKUP($B50,'Tamworth 5'!$A:$C,3,FALSE),"")</f>
        <v/>
      </c>
      <c r="Z50" s="31" t="str">
        <f>IFERROR(VLOOKUP($B50,'Bagworth XC'!$A:$C,3,FALSE),"")</f>
        <v/>
      </c>
      <c r="AA50" s="5" t="str">
        <f>IFERROR(VLOOKUP($B50,'Markfield 10k'!$A:$C,3,FALSE),"")</f>
        <v/>
      </c>
      <c r="AB50" s="5" t="str">
        <f>IFERROR(VLOOKUP($B50,'Shepshed 7'!$A:$C,3,FALSE),"")</f>
        <v/>
      </c>
    </row>
    <row r="51" spans="1:28" ht="15.75" thickBot="1" x14ac:dyDescent="0.3">
      <c r="A51" s="42">
        <f ca="1">IFERROR(Table2[[#This Row],[Position]],"")</f>
        <v>49</v>
      </c>
      <c r="B51" s="19" t="s">
        <v>287</v>
      </c>
      <c r="C51" s="81">
        <f ca="1">IF(Table2[[#This Row],[Total races]]=0,0,(RANK(E51,$E$3:$E$69)+COUNTIF(E51:$E$67,E51)-1))</f>
        <v>49</v>
      </c>
      <c r="D51" s="5">
        <f>COUNTIF(F51:AB51,"&gt;=0")</f>
        <v>2</v>
      </c>
      <c r="E51" s="5">
        <f t="array" aca="1" ref="E51" ca="1">IF(Table2[[#This Row],[Total races]]&lt;11,SUM(Table2[[#This Row],[Derby 5k]:[Shepshed 7]]),SUM(LARGE(F51:AB51,ROW(INDIRECT("1:10")))))+Table2[[#This Row],[Total races]]*3</f>
        <v>35</v>
      </c>
      <c r="F51" s="5" t="str">
        <f>IFERROR(VLOOKUP(B51,'Derby 5K'!$B$4:$K$15,10,FALSE),"")</f>
        <v/>
      </c>
      <c r="G51" s="5" t="str">
        <f>IFERROR(VLOOKUP(B51,'Grace Dieu XC'!$A:$C,3,FALSE),"")</f>
        <v/>
      </c>
      <c r="H51" s="5" t="str">
        <f>IFERROR(VLOOKUP(B51,'Bosworth XC'!$A:$C,3,FALSE),"")</f>
        <v/>
      </c>
      <c r="I51" s="5" t="str">
        <f>IFERROR(VLOOKUP($B51,'Kibworth 6'!$A:$C,3,FALSE),"")</f>
        <v/>
      </c>
      <c r="J51" s="5" t="str">
        <f>IFERROR(VLOOKUP($B51,'Ivanhoe 20'!$A:$C,3,FALSE),"")</f>
        <v/>
      </c>
      <c r="K51" s="5" t="str">
        <f>IFERROR(VLOOKUP($B51,'Run In Forest'!$A:$C,3,FALSE),"")</f>
        <v/>
      </c>
      <c r="L51" s="5" t="str">
        <f>IFERROR(VLOOKUP($B51,'Stilton 7'!$A:$C,3,FALSE),"")</f>
        <v/>
      </c>
      <c r="M51" s="5" t="str">
        <f>IFERROR(VLOOKUP($B51,'Uttoxeter HM'!$A:$C,3,FALSE),"")</f>
        <v/>
      </c>
      <c r="N51" s="5">
        <f>IFERROR(VLOOKUP($B51,'Bosworth HM'!$A:$C,3,FALSE),"")</f>
        <v>21</v>
      </c>
      <c r="O51" s="5" t="str">
        <f>IFERROR(VLOOKUP($B51,'West End 8'!$A:$C,3,FALSE),"")</f>
        <v/>
      </c>
      <c r="P51" s="5" t="str">
        <f>IFERROR(VLOOKUP($B51,'Swithland 6'!$A:$C,3,FALSE),"")</f>
        <v/>
      </c>
      <c r="Q51" s="5">
        <f>IFERROR(VLOOKUP($B51,'Washlands Relays'!$A:$C,3,FALSE),"")</f>
        <v>8</v>
      </c>
      <c r="R51" s="5" t="str">
        <f>IFERROR(VLOOKUP($B51,'Tara Kinder 10K'!$A:$C,3,FALSE),"")</f>
        <v/>
      </c>
      <c r="S51" s="5" t="str">
        <f>IFERROR(VLOOKUP($B51,'Worthington 6'!$A:$C,3,FALSE),"")</f>
        <v/>
      </c>
      <c r="T51" s="5" t="str">
        <f>IFERROR(VLOOKUP($B51,'Joy Cann 5'!$A:$C,3,FALSE),"")</f>
        <v/>
      </c>
      <c r="U51" s="5" t="str">
        <f>IFERROR(VLOOKUP($B51,'Burton 10k'!$A:$C,3,FALSE),"")</f>
        <v/>
      </c>
      <c r="V51" s="5" t="str">
        <f>IFERROR(VLOOKUP($B51,'Rotherby 8'!$A:$C,3,FALSE),"")</f>
        <v/>
      </c>
      <c r="W51" s="5" t="str">
        <f>IFERROR(VLOOKUP($B51,'Lichfield 10k'!$A:$C,3,FALSE),"")</f>
        <v/>
      </c>
      <c r="X51" s="5" t="str">
        <f>IFERROR(VLOOKUP($B51,'Adrian Smith'!$A:$C,3,FALSE),"")</f>
        <v/>
      </c>
      <c r="Y51" s="5" t="str">
        <f>IFERROR(VLOOKUP($B51,'Tamworth 5'!$A:$C,3,FALSE),"")</f>
        <v/>
      </c>
      <c r="Z51" s="31" t="str">
        <f>IFERROR(VLOOKUP($B51,'Bagworth XC'!$A:$C,3,FALSE),"")</f>
        <v/>
      </c>
      <c r="AA51" s="5" t="str">
        <f>IFERROR(VLOOKUP($B51,'Markfield 10k'!$A:$C,3,FALSE),"")</f>
        <v/>
      </c>
      <c r="AB51" s="5" t="str">
        <f>IFERROR(VLOOKUP($B51,'Shepshed 7'!$A:$C,3,FALSE),"")</f>
        <v/>
      </c>
    </row>
    <row r="52" spans="1:28" ht="15.75" thickBot="1" x14ac:dyDescent="0.3">
      <c r="A52" s="42">
        <f ca="1">IFERROR(Table2[[#This Row],[Position]],"")</f>
        <v>50</v>
      </c>
      <c r="B52" s="19" t="s">
        <v>31</v>
      </c>
      <c r="C52" s="81">
        <f ca="1">IF(Table2[[#This Row],[Total races]]=0,0,(RANK(E52,$E$3:$E$69)+COUNTIF(E52:$E$67,E52)-1))</f>
        <v>50</v>
      </c>
      <c r="D52" s="5">
        <f>COUNTIF(F52:AB52,"&gt;=0")</f>
        <v>2</v>
      </c>
      <c r="E52" s="5">
        <f t="array" aca="1" ref="E52" ca="1">IF(Table2[[#This Row],[Total races]]&lt;11,SUM(Table2[[#This Row],[Derby 5k]:[Shepshed 7]]),SUM(LARGE(F52:AB52,ROW(INDIRECT("1:10")))))+Table2[[#This Row],[Total races]]*3</f>
        <v>33</v>
      </c>
      <c r="F52" s="5" t="str">
        <f>IFERROR(VLOOKUP(B52,'Derby 5K'!$B$4:$K$15,10,FALSE),"")</f>
        <v/>
      </c>
      <c r="G52" s="5" t="str">
        <f>IFERROR(VLOOKUP(B52,'Grace Dieu XC'!$A:$C,3,FALSE),"")</f>
        <v/>
      </c>
      <c r="H52" s="5" t="str">
        <f>IFERROR(VLOOKUP(B52,'Bosworth XC'!$A:$C,3,FALSE),"")</f>
        <v/>
      </c>
      <c r="I52" s="5" t="str">
        <f>IFERROR(VLOOKUP($B52,'Kibworth 6'!$A:$C,3,FALSE),"")</f>
        <v/>
      </c>
      <c r="J52" s="5" t="str">
        <f>IFERROR(VLOOKUP($B52,'Ivanhoe 20'!$A:$C,3,FALSE),"")</f>
        <v/>
      </c>
      <c r="K52" s="5" t="str">
        <f>IFERROR(VLOOKUP($B52,'Run In Forest'!$A:$C,3,FALSE),"")</f>
        <v/>
      </c>
      <c r="L52" s="5" t="str">
        <f>IFERROR(VLOOKUP($B52,'Stilton 7'!$A:$C,3,FALSE),"")</f>
        <v/>
      </c>
      <c r="M52" s="5" t="str">
        <f>IFERROR(VLOOKUP($B52,'Uttoxeter HM'!$A:$C,3,FALSE),"")</f>
        <v/>
      </c>
      <c r="N52" s="5" t="str">
        <f>IFERROR(VLOOKUP($B52,'Bosworth HM'!$A:$C,3,FALSE),"")</f>
        <v/>
      </c>
      <c r="O52" s="5" t="str">
        <f>IFERROR(VLOOKUP($B52,'West End 8'!$A:$C,3,FALSE),"")</f>
        <v/>
      </c>
      <c r="P52" s="5" t="str">
        <f>IFERROR(VLOOKUP($B52,'Swithland 6'!$A:$C,3,FALSE),"")</f>
        <v/>
      </c>
      <c r="Q52" s="5" t="str">
        <f>IFERROR(VLOOKUP($B52,'Washlands Relays'!$A:$C,3,FALSE),"")</f>
        <v/>
      </c>
      <c r="R52" s="5" t="str">
        <f>IFERROR(VLOOKUP($B52,'Tara Kinder 10K'!$A:$C,3,FALSE),"")</f>
        <v/>
      </c>
      <c r="S52" s="5" t="str">
        <f>IFERROR(VLOOKUP($B52,'Worthington 6'!$A:$C,3,FALSE),"")</f>
        <v/>
      </c>
      <c r="T52" s="5" t="str">
        <f>IFERROR(VLOOKUP($B52,'Joy Cann 5'!$A:$C,3,FALSE),"")</f>
        <v/>
      </c>
      <c r="U52" s="5" t="str">
        <f>IFERROR(VLOOKUP($B52,'Burton 10k'!$A:$C,3,FALSE),"")</f>
        <v/>
      </c>
      <c r="V52" s="5" t="str">
        <f>IFERROR(VLOOKUP($B52,'Rotherby 8'!$A:$C,3,FALSE),"")</f>
        <v/>
      </c>
      <c r="W52" s="5" t="str">
        <f>IFERROR(VLOOKUP($B52,'Lichfield 10k'!$A:$C,3,FALSE),"")</f>
        <v/>
      </c>
      <c r="X52" s="5">
        <f>IFERROR(VLOOKUP($B52,'Adrian Smith'!$A:$C,3,FALSE),"")</f>
        <v>14</v>
      </c>
      <c r="Y52" s="5" t="str">
        <f>IFERROR(VLOOKUP($B52,'Tamworth 5'!$A:$C,3,FALSE),"")</f>
        <v/>
      </c>
      <c r="Z52" s="31">
        <f>IFERROR(VLOOKUP($B52,'Bagworth XC'!$A:$C,3,FALSE),"")</f>
        <v>13</v>
      </c>
      <c r="AA52" s="5" t="str">
        <f>IFERROR(VLOOKUP($B52,'Markfield 10k'!$A:$C,3,FALSE),"")</f>
        <v/>
      </c>
      <c r="AB52" s="5" t="str">
        <f>IFERROR(VLOOKUP($B52,'Shepshed 7'!$A:$C,3,FALSE),"")</f>
        <v/>
      </c>
    </row>
    <row r="53" spans="1:28" ht="15.75" thickBot="1" x14ac:dyDescent="0.3">
      <c r="A53" s="42">
        <f ca="1">IFERROR(Table2[[#This Row],[Position]],"")</f>
        <v>51</v>
      </c>
      <c r="B53" s="19" t="s">
        <v>56</v>
      </c>
      <c r="C53" s="81">
        <f ca="1">IF(Table2[[#This Row],[Total races]]=0,0,(RANK(E53,$E$3:$E$69)+COUNTIF(E53:$E$67,E53)-1))</f>
        <v>51</v>
      </c>
      <c r="D53" s="5">
        <f>COUNTIF(F53:AB53,"&gt;=0")</f>
        <v>1</v>
      </c>
      <c r="E53" s="5">
        <f t="array" aca="1" ref="E53" ca="1">IF(Table2[[#This Row],[Total races]]&lt;11,SUM(Table2[[#This Row],[Derby 5k]:[Shepshed 7]]),SUM(LARGE(F53:AB53,ROW(INDIRECT("1:10")))))+Table2[[#This Row],[Total races]]*3</f>
        <v>32</v>
      </c>
      <c r="F53" s="5" t="str">
        <f>IFERROR(VLOOKUP(B53,'Derby 5K'!$B$4:$K$15,10,FALSE),"")</f>
        <v/>
      </c>
      <c r="G53" s="5" t="str">
        <f>IFERROR(VLOOKUP(B53,'Grace Dieu XC'!$A:$C,3,FALSE),"")</f>
        <v/>
      </c>
      <c r="H53" s="5" t="str">
        <f>IFERROR(VLOOKUP(B53,'Bosworth XC'!$A:$C,3,FALSE),"")</f>
        <v/>
      </c>
      <c r="I53" s="5" t="str">
        <f>IFERROR(VLOOKUP($B53,'Kibworth 6'!$A:$C,3,FALSE),"")</f>
        <v/>
      </c>
      <c r="J53" s="5">
        <f>IFERROR(VLOOKUP($B53,'Ivanhoe 20'!$A:$C,3,FALSE),"")</f>
        <v>29</v>
      </c>
      <c r="K53" s="5" t="str">
        <f>IFERROR(VLOOKUP($B53,'Run In Forest'!$A:$C,3,FALSE),"")</f>
        <v/>
      </c>
      <c r="L53" s="5" t="str">
        <f>IFERROR(VLOOKUP($B53,'Stilton 7'!$A:$C,3,FALSE),"")</f>
        <v/>
      </c>
      <c r="M53" s="5" t="str">
        <f>IFERROR(VLOOKUP($B53,'Uttoxeter HM'!$A:$C,3,FALSE),"")</f>
        <v/>
      </c>
      <c r="N53" s="5" t="str">
        <f>IFERROR(VLOOKUP($B53,'Bosworth HM'!$A:$C,3,FALSE),"")</f>
        <v/>
      </c>
      <c r="O53" s="5" t="str">
        <f>IFERROR(VLOOKUP($B53,'West End 8'!$A:$C,3,FALSE),"")</f>
        <v/>
      </c>
      <c r="P53" s="5" t="str">
        <f>IFERROR(VLOOKUP($B53,'Swithland 6'!$A:$C,3,FALSE),"")</f>
        <v/>
      </c>
      <c r="Q53" s="5" t="str">
        <f>IFERROR(VLOOKUP($B53,'Washlands Relays'!$A:$C,3,FALSE),"")</f>
        <v/>
      </c>
      <c r="R53" s="5" t="str">
        <f>IFERROR(VLOOKUP($B53,'Tara Kinder 10K'!$A:$C,3,FALSE),"")</f>
        <v/>
      </c>
      <c r="S53" s="5" t="str">
        <f>IFERROR(VLOOKUP($B53,'Worthington 6'!$A:$C,3,FALSE),"")</f>
        <v/>
      </c>
      <c r="T53" s="5" t="str">
        <f>IFERROR(VLOOKUP($B53,'Joy Cann 5'!$A:$C,3,FALSE),"")</f>
        <v/>
      </c>
      <c r="U53" s="5" t="str">
        <f>IFERROR(VLOOKUP($B53,'Burton 10k'!$A:$C,3,FALSE),"")</f>
        <v/>
      </c>
      <c r="V53" s="5" t="str">
        <f>IFERROR(VLOOKUP($B53,'Rotherby 8'!$A:$C,3,FALSE),"")</f>
        <v/>
      </c>
      <c r="W53" s="5" t="str">
        <f>IFERROR(VLOOKUP($B53,'Lichfield 10k'!$A:$C,3,FALSE),"")</f>
        <v/>
      </c>
      <c r="X53" s="5" t="str">
        <f>IFERROR(VLOOKUP($B53,'Adrian Smith'!$A:$C,3,FALSE),"")</f>
        <v/>
      </c>
      <c r="Y53" s="5" t="str">
        <f>IFERROR(VLOOKUP($B53,'Tamworth 5'!$A:$C,3,FALSE),"")</f>
        <v/>
      </c>
      <c r="Z53" s="31" t="str">
        <f>IFERROR(VLOOKUP($B53,'Bagworth XC'!$A:$C,3,FALSE),"")</f>
        <v/>
      </c>
      <c r="AA53" s="5" t="str">
        <f>IFERROR(VLOOKUP($B53,'Markfield 10k'!$A:$C,3,FALSE),"")</f>
        <v/>
      </c>
      <c r="AB53" s="5" t="str">
        <f>IFERROR(VLOOKUP($B53,'Shepshed 7'!$A:$C,3,FALSE),"")</f>
        <v/>
      </c>
    </row>
    <row r="54" spans="1:28" x14ac:dyDescent="0.25">
      <c r="A54" s="42">
        <f ca="1">IFERROR(Table2[[#This Row],[Position]],"")</f>
        <v>52</v>
      </c>
      <c r="B54" s="70" t="s">
        <v>395</v>
      </c>
      <c r="C54" s="81">
        <f ca="1">IF(Table2[[#This Row],[Total races]]=0,0,(RANK(E54,$E$3:$E$69)+COUNTIF(E54:$E$67,E54)-1))</f>
        <v>52</v>
      </c>
      <c r="D54" s="71">
        <f>COUNTIF(F54:AB54,"&gt;=0")</f>
        <v>1</v>
      </c>
      <c r="E54" s="71">
        <f t="array" aca="1" ref="E54" ca="1">IF(Table2[[#This Row],[Total races]]&lt;11,SUM(Table2[[#This Row],[Derby 5k]:[Shepshed 7]]),SUM(LARGE(F54:AB54,ROW(INDIRECT("1:10")))))+Table2[[#This Row],[Total races]]*3</f>
        <v>31</v>
      </c>
      <c r="F54" s="71" t="str">
        <f>IFERROR(VLOOKUP(B54,'Derby 5K'!$B$4:$K$15,10,FALSE),"")</f>
        <v/>
      </c>
      <c r="G54" s="71" t="str">
        <f>IFERROR(VLOOKUP(B54,'Grace Dieu XC'!$A:$C,3,FALSE),"")</f>
        <v/>
      </c>
      <c r="H54" s="71" t="str">
        <f>IFERROR(VLOOKUP(B54,'Bosworth XC'!$A:$C,3,FALSE),"")</f>
        <v/>
      </c>
      <c r="I54" s="71" t="str">
        <f>IFERROR(VLOOKUP($B54,'Kibworth 6'!$A:$C,3,FALSE),"")</f>
        <v/>
      </c>
      <c r="J54" s="71" t="str">
        <f>IFERROR(VLOOKUP($B54,'Ivanhoe 20'!$A:$C,3,FALSE),"")</f>
        <v/>
      </c>
      <c r="K54" s="71" t="str">
        <f>IFERROR(VLOOKUP($B54,'Run In Forest'!$A:$C,3,FALSE),"")</f>
        <v/>
      </c>
      <c r="L54" s="71" t="str">
        <f>IFERROR(VLOOKUP($B54,'Stilton 7'!$A:$C,3,FALSE),"")</f>
        <v/>
      </c>
      <c r="M54" s="71" t="str">
        <f>IFERROR(VLOOKUP($B54,'Uttoxeter HM'!$A:$C,3,FALSE),"")</f>
        <v/>
      </c>
      <c r="N54" s="71" t="str">
        <f>IFERROR(VLOOKUP($B54,'Bosworth HM'!$A:$C,3,FALSE),"")</f>
        <v/>
      </c>
      <c r="O54" s="71" t="str">
        <f>IFERROR(VLOOKUP($B54,'West End 8'!$A:$C,3,FALSE),"")</f>
        <v/>
      </c>
      <c r="P54" s="71" t="str">
        <f>IFERROR(VLOOKUP($B54,'Swithland 6'!$A:$C,3,FALSE),"")</f>
        <v/>
      </c>
      <c r="Q54" s="71" t="str">
        <f>IFERROR(VLOOKUP($B54,'Washlands Relays'!$A:$C,3,FALSE),"")</f>
        <v/>
      </c>
      <c r="R54" s="71" t="str">
        <f>IFERROR(VLOOKUP($B54,'Tara Kinder 10K'!$A:$C,3,FALSE),"")</f>
        <v/>
      </c>
      <c r="S54" s="71" t="str">
        <f>IFERROR(VLOOKUP($B54,'Worthington 6'!$A:$C,3,FALSE),"")</f>
        <v/>
      </c>
      <c r="T54" s="71" t="str">
        <f>IFERROR(VLOOKUP($B54,'Joy Cann 5'!$A:$C,3,FALSE),"")</f>
        <v/>
      </c>
      <c r="U54" s="71" t="str">
        <f>IFERROR(VLOOKUP($B54,'Burton 10k'!$A:$C,3,FALSE),"")</f>
        <v/>
      </c>
      <c r="V54" s="71" t="str">
        <f>IFERROR(VLOOKUP($B54,'Rotherby 8'!$A:$C,3,FALSE),"")</f>
        <v/>
      </c>
      <c r="W54" s="71" t="str">
        <f>IFERROR(VLOOKUP($B54,'Lichfield 10k'!$A:$C,3,FALSE),"")</f>
        <v/>
      </c>
      <c r="X54" s="71">
        <f>IFERROR(VLOOKUP($B54,'Adrian Smith'!$A:$C,3,FALSE),"")</f>
        <v>28</v>
      </c>
      <c r="Y54" s="71" t="str">
        <f>IFERROR(VLOOKUP($B54,'Tamworth 5'!$A:$C,3,FALSE),"")</f>
        <v/>
      </c>
      <c r="Z54" s="72" t="str">
        <f>IFERROR(VLOOKUP($B54,'Bagworth XC'!$A:$C,3,FALSE),"")</f>
        <v/>
      </c>
      <c r="AA54" s="5" t="str">
        <f>IFERROR(VLOOKUP($B54,'Markfield 10k'!$A:$C,3,FALSE),"")</f>
        <v/>
      </c>
      <c r="AB54" s="5" t="str">
        <f>IFERROR(VLOOKUP($B54,'Shepshed 7'!$A:$C,3,FALSE),"")</f>
        <v/>
      </c>
    </row>
    <row r="55" spans="1:28" x14ac:dyDescent="0.25">
      <c r="A55" s="42">
        <f ca="1">IFERROR(Table2[[#This Row],[Position]],"")</f>
        <v>54</v>
      </c>
      <c r="B55" s="70" t="s">
        <v>45</v>
      </c>
      <c r="C55" s="81">
        <f ca="1">IF(Table2[[#This Row],[Total races]]=0,0,(RANK(E55,$E$3:$E$69)+COUNTIF(E55:$E$67,E55)-1))</f>
        <v>54</v>
      </c>
      <c r="D55" s="71">
        <f>COUNTIF(F55:AB55,"&gt;=0")</f>
        <v>1</v>
      </c>
      <c r="E55" s="71">
        <f t="array" aca="1" ref="E55" ca="1">IF(Table2[[#This Row],[Total races]]&lt;11,SUM(Table2[[#This Row],[Derby 5k]:[Shepshed 7]]),SUM(LARGE(F55:AB55,ROW(INDIRECT("1:10")))))+Table2[[#This Row],[Total races]]*3</f>
        <v>30</v>
      </c>
      <c r="F55" s="71" t="str">
        <f>IFERROR(VLOOKUP(B55,'Derby 5K'!$B$4:$K$15,10,FALSE),"")</f>
        <v/>
      </c>
      <c r="G55" s="71" t="str">
        <f>IFERROR(VLOOKUP(B55,'Grace Dieu XC'!$A:$C,3,FALSE),"")</f>
        <v/>
      </c>
      <c r="H55" s="71" t="str">
        <f>IFERROR(VLOOKUP(B55,'Bosworth XC'!$A:$C,3,FALSE),"")</f>
        <v/>
      </c>
      <c r="I55" s="71" t="str">
        <f>IFERROR(VLOOKUP($B55,'Kibworth 6'!$A:$C,3,FALSE),"")</f>
        <v/>
      </c>
      <c r="J55" s="71" t="str">
        <f>IFERROR(VLOOKUP($B55,'Ivanhoe 20'!$A:$C,3,FALSE),"")</f>
        <v/>
      </c>
      <c r="K55" s="71">
        <f>IFERROR(VLOOKUP($B55,'Run In Forest'!$A:$C,3,FALSE),"")</f>
        <v>27</v>
      </c>
      <c r="L55" s="71" t="str">
        <f>IFERROR(VLOOKUP($B55,'Stilton 7'!$A:$C,3,FALSE),"")</f>
        <v/>
      </c>
      <c r="M55" s="71" t="str">
        <f>IFERROR(VLOOKUP($B55,'Uttoxeter HM'!$A:$C,3,FALSE),"")</f>
        <v/>
      </c>
      <c r="N55" s="71" t="str">
        <f>IFERROR(VLOOKUP($B55,'Bosworth HM'!$A:$C,3,FALSE),"")</f>
        <v/>
      </c>
      <c r="O55" s="71" t="str">
        <f>IFERROR(VLOOKUP($B55,'West End 8'!$A:$C,3,FALSE),"")</f>
        <v/>
      </c>
      <c r="P55" s="71" t="str">
        <f>IFERROR(VLOOKUP($B55,'Swithland 6'!$A:$C,3,FALSE),"")</f>
        <v/>
      </c>
      <c r="Q55" s="71" t="str">
        <f>IFERROR(VLOOKUP($B55,'Washlands Relays'!$A:$C,3,FALSE),"")</f>
        <v/>
      </c>
      <c r="R55" s="71" t="str">
        <f>IFERROR(VLOOKUP($B55,'Tara Kinder 10K'!$A:$C,3,FALSE),"")</f>
        <v/>
      </c>
      <c r="S55" s="71" t="str">
        <f>IFERROR(VLOOKUP($B55,'Worthington 6'!$A:$C,3,FALSE),"")</f>
        <v/>
      </c>
      <c r="T55" s="71" t="str">
        <f>IFERROR(VLOOKUP($B55,'Joy Cann 5'!$A:$C,3,FALSE),"")</f>
        <v/>
      </c>
      <c r="U55" s="71" t="str">
        <f>IFERROR(VLOOKUP($B55,'Burton 10k'!$A:$C,3,FALSE),"")</f>
        <v/>
      </c>
      <c r="V55" s="71" t="str">
        <f>IFERROR(VLOOKUP($B55,'Rotherby 8'!$A:$C,3,FALSE),"")</f>
        <v/>
      </c>
      <c r="W55" s="71" t="str">
        <f>IFERROR(VLOOKUP($B55,'Lichfield 10k'!$A:$C,3,FALSE),"")</f>
        <v/>
      </c>
      <c r="X55" s="71" t="str">
        <f>IFERROR(VLOOKUP($B55,'Adrian Smith'!$A:$C,3,FALSE),"")</f>
        <v/>
      </c>
      <c r="Y55" s="71" t="str">
        <f>IFERROR(VLOOKUP($B55,'Tamworth 5'!$A:$C,3,FALSE),"")</f>
        <v/>
      </c>
      <c r="Z55" s="72" t="str">
        <f>IFERROR(VLOOKUP($B55,'Bagworth XC'!$A:$C,3,FALSE),"")</f>
        <v/>
      </c>
      <c r="AA55" s="71" t="str">
        <f>IFERROR(VLOOKUP($B55,'Markfield 10k'!$A:$C,3,FALSE),"")</f>
        <v/>
      </c>
      <c r="AB55" s="71" t="str">
        <f>IFERROR(VLOOKUP($B55,'Shepshed 7'!$A:$C,3,FALSE),"")</f>
        <v/>
      </c>
    </row>
    <row r="56" spans="1:28" x14ac:dyDescent="0.25">
      <c r="A56" s="42">
        <f ca="1">IFERROR(Table2[[#This Row],[Position]],"")</f>
        <v>53</v>
      </c>
      <c r="B56" s="70" t="s">
        <v>190</v>
      </c>
      <c r="C56" s="81">
        <f ca="1">IF(Table2[[#This Row],[Total races]]=0,0,(RANK(E56,$E$3:$E$69)+COUNTIF(E56:$E$67,E56)-1))</f>
        <v>53</v>
      </c>
      <c r="D56" s="71">
        <f>COUNTIF(F56:AB56,"&gt;=0")</f>
        <v>1</v>
      </c>
      <c r="E56" s="71">
        <f t="array" aca="1" ref="E56" ca="1">IF(Table2[[#This Row],[Total races]]&lt;11,SUM(Table2[[#This Row],[Derby 5k]:[Shepshed 7]]),SUM(LARGE(F56:AB56,ROW(INDIRECT("1:10")))))+Table2[[#This Row],[Total races]]*3</f>
        <v>30</v>
      </c>
      <c r="F56" s="71" t="str">
        <f>IFERROR(VLOOKUP(B56,'Derby 5K'!$B$4:$K$15,10,FALSE),"")</f>
        <v/>
      </c>
      <c r="G56" s="71" t="str">
        <f>IFERROR(VLOOKUP(B56,'Grace Dieu XC'!$A:$C,3,FALSE),"")</f>
        <v/>
      </c>
      <c r="H56" s="71" t="str">
        <f>IFERROR(VLOOKUP(B56,'Bosworth XC'!$A:$C,3,FALSE),"")</f>
        <v/>
      </c>
      <c r="I56" s="71" t="str">
        <f>IFERROR(VLOOKUP($B56,'Kibworth 6'!$A:$C,3,FALSE),"")</f>
        <v/>
      </c>
      <c r="J56" s="71">
        <f>IFERROR(VLOOKUP($B56,'Ivanhoe 20'!$A:$C,3,FALSE),"")</f>
        <v>27</v>
      </c>
      <c r="K56" s="71" t="str">
        <f>IFERROR(VLOOKUP($B56,'Run In Forest'!$A:$C,3,FALSE),"")</f>
        <v/>
      </c>
      <c r="L56" s="71" t="str">
        <f>IFERROR(VLOOKUP($B56,'Stilton 7'!$A:$C,3,FALSE),"")</f>
        <v/>
      </c>
      <c r="M56" s="71" t="str">
        <f>IFERROR(VLOOKUP($B56,'Uttoxeter HM'!$A:$C,3,FALSE),"")</f>
        <v/>
      </c>
      <c r="N56" s="71" t="str">
        <f>IFERROR(VLOOKUP($B56,'Bosworth HM'!$A:$C,3,FALSE),"")</f>
        <v/>
      </c>
      <c r="O56" s="71" t="str">
        <f>IFERROR(VLOOKUP($B56,'West End 8'!$A:$C,3,FALSE),"")</f>
        <v/>
      </c>
      <c r="P56" s="71" t="str">
        <f>IFERROR(VLOOKUP($B56,'Swithland 6'!$A:$C,3,FALSE),"")</f>
        <v/>
      </c>
      <c r="Q56" s="71" t="str">
        <f>IFERROR(VLOOKUP($B56,'Washlands Relays'!$A:$C,3,FALSE),"")</f>
        <v/>
      </c>
      <c r="R56" s="71" t="str">
        <f>IFERROR(VLOOKUP($B56,'Tara Kinder 10K'!$A:$C,3,FALSE),"")</f>
        <v/>
      </c>
      <c r="S56" s="71" t="str">
        <f>IFERROR(VLOOKUP($B56,'Worthington 6'!$A:$C,3,FALSE),"")</f>
        <v/>
      </c>
      <c r="T56" s="71" t="str">
        <f>IFERROR(VLOOKUP($B56,'Joy Cann 5'!$A:$C,3,FALSE),"")</f>
        <v/>
      </c>
      <c r="U56" s="71" t="str">
        <f>IFERROR(VLOOKUP($B56,'Burton 10k'!$A:$C,3,FALSE),"")</f>
        <v/>
      </c>
      <c r="V56" s="71" t="str">
        <f>IFERROR(VLOOKUP($B56,'Rotherby 8'!$A:$C,3,FALSE),"")</f>
        <v/>
      </c>
      <c r="W56" s="71" t="str">
        <f>IFERROR(VLOOKUP($B56,'Lichfield 10k'!$A:$C,3,FALSE),"")</f>
        <v/>
      </c>
      <c r="X56" s="71" t="str">
        <f>IFERROR(VLOOKUP($B56,'Adrian Smith'!$A:$C,3,FALSE),"")</f>
        <v/>
      </c>
      <c r="Y56" s="71" t="str">
        <f>IFERROR(VLOOKUP($B56,'Tamworth 5'!$A:$C,3,FALSE),"")</f>
        <v/>
      </c>
      <c r="Z56" s="72" t="str">
        <f>IFERROR(VLOOKUP($B56,'Bagworth XC'!$A:$C,3,FALSE),"")</f>
        <v/>
      </c>
      <c r="AA56" s="71" t="str">
        <f>IFERROR(VLOOKUP($B56,'Markfield 10k'!$A:$C,3,FALSE),"")</f>
        <v/>
      </c>
      <c r="AB56" s="71" t="str">
        <f>IFERROR(VLOOKUP($B56,'Shepshed 7'!$A:$C,3,FALSE),"")</f>
        <v/>
      </c>
    </row>
    <row r="57" spans="1:28" x14ac:dyDescent="0.25">
      <c r="A57" s="42">
        <f ca="1">IFERROR(Table2[[#This Row],[Position]],"")</f>
        <v>55</v>
      </c>
      <c r="B57" s="70" t="s">
        <v>92</v>
      </c>
      <c r="C57" s="81">
        <f ca="1">IF(Table2[[#This Row],[Total races]]=0,0,(RANK(E57,$E$3:$E$69)+COUNTIF(E57:$E$67,E57)-1))</f>
        <v>55</v>
      </c>
      <c r="D57" s="71">
        <f>COUNTIF(F57:AB57,"&gt;=0")</f>
        <v>1</v>
      </c>
      <c r="E57" s="71">
        <f t="array" aca="1" ref="E57" ca="1">IF(Table2[[#This Row],[Total races]]&lt;11,SUM(Table2[[#This Row],[Derby 5k]:[Shepshed 7]]),SUM(LARGE(F57:AB57,ROW(INDIRECT("1:10")))))+Table2[[#This Row],[Total races]]*3</f>
        <v>27</v>
      </c>
      <c r="F57" s="71" t="str">
        <f>IFERROR(VLOOKUP(B57,'Derby 5K'!$B$4:$K$15,10,FALSE),"")</f>
        <v/>
      </c>
      <c r="G57" s="71" t="str">
        <f>IFERROR(VLOOKUP(B57,'Grace Dieu XC'!$A:$C,3,FALSE),"")</f>
        <v/>
      </c>
      <c r="H57" s="71" t="str">
        <f>IFERROR(VLOOKUP(B57,'Bosworth XC'!$A:$C,3,FALSE),"")</f>
        <v/>
      </c>
      <c r="I57" s="71" t="str">
        <f>IFERROR(VLOOKUP($B57,'Kibworth 6'!$A:$C,3,FALSE),"")</f>
        <v/>
      </c>
      <c r="J57" s="71" t="str">
        <f>IFERROR(VLOOKUP($B57,'Ivanhoe 20'!$A:$C,3,FALSE),"")</f>
        <v/>
      </c>
      <c r="K57" s="71" t="str">
        <f>IFERROR(VLOOKUP($B57,'Run In Forest'!$A:$C,3,FALSE),"")</f>
        <v/>
      </c>
      <c r="L57" s="71" t="str">
        <f>IFERROR(VLOOKUP($B57,'Stilton 7'!$A:$C,3,FALSE),"")</f>
        <v/>
      </c>
      <c r="M57" s="71" t="str">
        <f>IFERROR(VLOOKUP($B57,'Uttoxeter HM'!$A:$C,3,FALSE),"")</f>
        <v/>
      </c>
      <c r="N57" s="71">
        <f>IFERROR(VLOOKUP($B57,'Bosworth HM'!$A:$C,3,FALSE),"")</f>
        <v>24</v>
      </c>
      <c r="O57" s="71" t="str">
        <f>IFERROR(VLOOKUP($B57,'West End 8'!$A:$C,3,FALSE),"")</f>
        <v/>
      </c>
      <c r="P57" s="71" t="str">
        <f>IFERROR(VLOOKUP($B57,'Swithland 6'!$A:$C,3,FALSE),"")</f>
        <v/>
      </c>
      <c r="Q57" s="71" t="str">
        <f>IFERROR(VLOOKUP($B57,'Washlands Relays'!$A:$C,3,FALSE),"")</f>
        <v/>
      </c>
      <c r="R57" s="71" t="str">
        <f>IFERROR(VLOOKUP($B57,'Tara Kinder 10K'!$A:$C,3,FALSE),"")</f>
        <v/>
      </c>
      <c r="S57" s="71" t="str">
        <f>IFERROR(VLOOKUP($B57,'Worthington 6'!$A:$C,3,FALSE),"")</f>
        <v/>
      </c>
      <c r="T57" s="71" t="str">
        <f>IFERROR(VLOOKUP($B57,'Joy Cann 5'!$A:$C,3,FALSE),"")</f>
        <v/>
      </c>
      <c r="U57" s="71" t="str">
        <f>IFERROR(VLOOKUP($B57,'Burton 10k'!$A:$C,3,FALSE),"")</f>
        <v/>
      </c>
      <c r="V57" s="71" t="str">
        <f>IFERROR(VLOOKUP($B57,'Rotherby 8'!$A:$C,3,FALSE),"")</f>
        <v/>
      </c>
      <c r="W57" s="71" t="str">
        <f>IFERROR(VLOOKUP($B57,'Lichfield 10k'!$A:$C,3,FALSE),"")</f>
        <v/>
      </c>
      <c r="X57" s="71" t="str">
        <f>IFERROR(VLOOKUP($B57,'Adrian Smith'!$A:$C,3,FALSE),"")</f>
        <v/>
      </c>
      <c r="Y57" s="71" t="str">
        <f>IFERROR(VLOOKUP($B57,'Tamworth 5'!$A:$C,3,FALSE),"")</f>
        <v/>
      </c>
      <c r="Z57" s="72" t="str">
        <f>IFERROR(VLOOKUP($B57,'Bagworth XC'!$A:$C,3,FALSE),"")</f>
        <v/>
      </c>
      <c r="AA57" s="71" t="str">
        <f>IFERROR(VLOOKUP($B57,'Markfield 10k'!$A:$C,3,FALSE),"")</f>
        <v/>
      </c>
      <c r="AB57" s="71" t="str">
        <f>IFERROR(VLOOKUP($B57,'Shepshed 7'!$A:$C,3,FALSE),"")</f>
        <v/>
      </c>
    </row>
    <row r="58" spans="1:28" x14ac:dyDescent="0.25">
      <c r="A58" s="42">
        <f ca="1">IFERROR(Table2[[#This Row],[Position]],"")</f>
        <v>56</v>
      </c>
      <c r="B58" s="70" t="s">
        <v>386</v>
      </c>
      <c r="C58" s="81">
        <f ca="1">IF(Table2[[#This Row],[Total races]]=0,0,(RANK(E58,$E$3:$E$69)+COUNTIF(E58:$E$67,E58)-1))</f>
        <v>56</v>
      </c>
      <c r="D58" s="71">
        <f>COUNTIF(F58:AB58,"&gt;=0")</f>
        <v>1</v>
      </c>
      <c r="E58" s="71">
        <f t="array" aca="1" ref="E58" ca="1">IF(Table2[[#This Row],[Total races]]&lt;11,SUM(Table2[[#This Row],[Derby 5k]:[Shepshed 7]]),SUM(LARGE(F58:AB58,ROW(INDIRECT("1:10")))))+Table2[[#This Row],[Total races]]*3</f>
        <v>22</v>
      </c>
      <c r="F58" s="71" t="str">
        <f>IFERROR(VLOOKUP(B58,'Derby 5K'!$B$4:$K$15,10,FALSE),"")</f>
        <v/>
      </c>
      <c r="G58" s="71" t="str">
        <f>IFERROR(VLOOKUP(B58,'Grace Dieu XC'!$A:$C,3,FALSE),"")</f>
        <v/>
      </c>
      <c r="H58" s="71" t="str">
        <f>IFERROR(VLOOKUP(B58,'Bosworth XC'!$A:$C,3,FALSE),"")</f>
        <v/>
      </c>
      <c r="I58" s="71" t="str">
        <f>IFERROR(VLOOKUP($B58,'Kibworth 6'!$A:$C,3,FALSE),"")</f>
        <v/>
      </c>
      <c r="J58" s="71" t="str">
        <f>IFERROR(VLOOKUP($B58,'Ivanhoe 20'!$A:$C,3,FALSE),"")</f>
        <v/>
      </c>
      <c r="K58" s="71" t="str">
        <f>IFERROR(VLOOKUP($B58,'Run In Forest'!$A:$C,3,FALSE),"")</f>
        <v/>
      </c>
      <c r="L58" s="71" t="str">
        <f>IFERROR(VLOOKUP($B58,'Stilton 7'!$A:$C,3,FALSE),"")</f>
        <v/>
      </c>
      <c r="M58" s="71" t="str">
        <f>IFERROR(VLOOKUP($B58,'Uttoxeter HM'!$A:$C,3,FALSE),"")</f>
        <v/>
      </c>
      <c r="N58" s="71" t="str">
        <f>IFERROR(VLOOKUP($B58,'Bosworth HM'!$A:$C,3,FALSE),"")</f>
        <v/>
      </c>
      <c r="O58" s="71" t="str">
        <f>IFERROR(VLOOKUP($B58,'West End 8'!$A:$C,3,FALSE),"")</f>
        <v/>
      </c>
      <c r="P58" s="71" t="str">
        <f>IFERROR(VLOOKUP($B58,'Swithland 6'!$A:$C,3,FALSE),"")</f>
        <v/>
      </c>
      <c r="Q58" s="71" t="str">
        <f>IFERROR(VLOOKUP($B58,'Washlands Relays'!$A:$C,3,FALSE),"")</f>
        <v/>
      </c>
      <c r="R58" s="71" t="str">
        <f>IFERROR(VLOOKUP($B58,'Tara Kinder 10K'!$A:$C,3,FALSE),"")</f>
        <v/>
      </c>
      <c r="S58" s="71" t="str">
        <f>IFERROR(VLOOKUP($B58,'Worthington 6'!$A:$C,3,FALSE),"")</f>
        <v/>
      </c>
      <c r="T58" s="71" t="str">
        <f>IFERROR(VLOOKUP($B58,'Joy Cann 5'!$A:$C,3,FALSE),"")</f>
        <v/>
      </c>
      <c r="U58" s="71" t="str">
        <f>IFERROR(VLOOKUP($B58,'Burton 10k'!$A:$C,3,FALSE),"")</f>
        <v/>
      </c>
      <c r="V58" s="71" t="str">
        <f>IFERROR(VLOOKUP($B58,'Rotherby 8'!$A:$C,3,FALSE),"")</f>
        <v/>
      </c>
      <c r="W58" s="71" t="str">
        <f>IFERROR(VLOOKUP($B58,'Lichfield 10k'!$A:$C,3,FALSE),"")</f>
        <v/>
      </c>
      <c r="X58" s="71">
        <f>IFERROR(VLOOKUP($B58,'Adrian Smith'!$A:$C,3,FALSE),"")</f>
        <v>19</v>
      </c>
      <c r="Y58" s="71" t="str">
        <f>IFERROR(VLOOKUP($B58,'Tamworth 5'!$A:$C,3,FALSE),"")</f>
        <v/>
      </c>
      <c r="Z58" s="72" t="str">
        <f>IFERROR(VLOOKUP($B58,'Bagworth XC'!$A:$C,3,FALSE),"")</f>
        <v/>
      </c>
      <c r="AA58" s="71" t="str">
        <f>IFERROR(VLOOKUP($B58,'Markfield 10k'!$A:$C,3,FALSE),"")</f>
        <v/>
      </c>
      <c r="AB58" s="71" t="str">
        <f>IFERROR(VLOOKUP($B58,'Shepshed 7'!$A:$C,3,FALSE),"")</f>
        <v/>
      </c>
    </row>
    <row r="59" spans="1:28" x14ac:dyDescent="0.25">
      <c r="A59" s="42">
        <f ca="1">IFERROR(Table2[[#This Row],[Position]],"")</f>
        <v>57</v>
      </c>
      <c r="B59" s="70" t="s">
        <v>120</v>
      </c>
      <c r="C59" s="81">
        <f ca="1">IF(Table2[[#This Row],[Total races]]=0,0,(RANK(E59,$E$3:$E$69)+COUNTIF(E59:$E$67,E59)-1))</f>
        <v>57</v>
      </c>
      <c r="D59" s="71">
        <f>COUNTIF(F59:AB59,"&gt;=0")</f>
        <v>1</v>
      </c>
      <c r="E59" s="71">
        <f t="array" aca="1" ref="E59" ca="1">IF(Table2[[#This Row],[Total races]]&lt;11,SUM(Table2[[#This Row],[Derby 5k]:[Shepshed 7]]),SUM(LARGE(F59:AB59,ROW(INDIRECT("1:10")))))+Table2[[#This Row],[Total races]]*3</f>
        <v>21</v>
      </c>
      <c r="F59" s="71" t="str">
        <f>IFERROR(VLOOKUP(B59,'Derby 5K'!$B$4:$K$15,10,FALSE),"")</f>
        <v/>
      </c>
      <c r="G59" s="71">
        <f>IFERROR(VLOOKUP(B59,'Grace Dieu XC'!$A:$C,3,FALSE),"")</f>
        <v>18</v>
      </c>
      <c r="H59" s="71" t="str">
        <f>IFERROR(VLOOKUP(B59,'Bosworth XC'!$A:$C,3,FALSE),"")</f>
        <v/>
      </c>
      <c r="I59" s="71" t="str">
        <f>IFERROR(VLOOKUP($B59,'Kibworth 6'!$A:$C,3,FALSE),"")</f>
        <v/>
      </c>
      <c r="J59" s="71" t="str">
        <f>IFERROR(VLOOKUP($B59,'Ivanhoe 20'!$A:$C,3,FALSE),"")</f>
        <v/>
      </c>
      <c r="K59" s="71" t="str">
        <f>IFERROR(VLOOKUP($B59,'Run In Forest'!$A:$C,3,FALSE),"")</f>
        <v/>
      </c>
      <c r="L59" s="71" t="str">
        <f>IFERROR(VLOOKUP($B59,'Stilton 7'!$A:$C,3,FALSE),"")</f>
        <v/>
      </c>
      <c r="M59" s="71" t="str">
        <f>IFERROR(VLOOKUP($B59,'Uttoxeter HM'!$A:$C,3,FALSE),"")</f>
        <v/>
      </c>
      <c r="N59" s="71" t="str">
        <f>IFERROR(VLOOKUP($B59,'Bosworth HM'!$A:$C,3,FALSE),"")</f>
        <v/>
      </c>
      <c r="O59" s="71" t="str">
        <f>IFERROR(VLOOKUP($B59,'West End 8'!$A:$C,3,FALSE),"")</f>
        <v/>
      </c>
      <c r="P59" s="71" t="str">
        <f>IFERROR(VLOOKUP($B59,'Swithland 6'!$A:$C,3,FALSE),"")</f>
        <v/>
      </c>
      <c r="Q59" s="71" t="str">
        <f>IFERROR(VLOOKUP($B59,'Washlands Relays'!$A:$C,3,FALSE),"")</f>
        <v/>
      </c>
      <c r="R59" s="71" t="str">
        <f>IFERROR(VLOOKUP($B59,'Tara Kinder 10K'!$A:$C,3,FALSE),"")</f>
        <v/>
      </c>
      <c r="S59" s="71" t="str">
        <f>IFERROR(VLOOKUP($B59,'Worthington 6'!$A:$C,3,FALSE),"")</f>
        <v/>
      </c>
      <c r="T59" s="71" t="str">
        <f>IFERROR(VLOOKUP($B59,'Joy Cann 5'!$A:$C,3,FALSE),"")</f>
        <v/>
      </c>
      <c r="U59" s="71" t="str">
        <f>IFERROR(VLOOKUP($B59,'Burton 10k'!$A:$C,3,FALSE),"")</f>
        <v/>
      </c>
      <c r="V59" s="71" t="str">
        <f>IFERROR(VLOOKUP($B59,'Rotherby 8'!$A:$C,3,FALSE),"")</f>
        <v/>
      </c>
      <c r="W59" s="71" t="str">
        <f>IFERROR(VLOOKUP($B59,'Lichfield 10k'!$A:$C,3,FALSE),"")</f>
        <v/>
      </c>
      <c r="X59" s="71" t="str">
        <f>IFERROR(VLOOKUP($B59,'Adrian Smith'!$A:$C,3,FALSE),"")</f>
        <v/>
      </c>
      <c r="Y59" s="71" t="str">
        <f>IFERROR(VLOOKUP($B59,'Tamworth 5'!$A:$C,3,FALSE),"")</f>
        <v/>
      </c>
      <c r="Z59" s="72" t="str">
        <f>IFERROR(VLOOKUP($B59,'Bagworth XC'!$A:$C,3,FALSE),"")</f>
        <v/>
      </c>
      <c r="AA59" s="71" t="str">
        <f>IFERROR(VLOOKUP($B59,'Markfield 10k'!$A:$C,3,FALSE),"")</f>
        <v/>
      </c>
      <c r="AB59" s="71" t="str">
        <f>IFERROR(VLOOKUP($B59,'Shepshed 7'!$A:$C,3,FALSE),"")</f>
        <v/>
      </c>
    </row>
    <row r="60" spans="1:28" x14ac:dyDescent="0.25">
      <c r="A60" s="42">
        <f ca="1">IFERROR(Table2[[#This Row],[Position]],"")</f>
        <v>58</v>
      </c>
      <c r="B60" s="70" t="s">
        <v>39</v>
      </c>
      <c r="C60" s="81">
        <f ca="1">IF(Table2[[#This Row],[Total races]]=0,0,(RANK(E60,$E$3:$E$69)+COUNTIF(E60:$E$67,E60)-1))</f>
        <v>58</v>
      </c>
      <c r="D60" s="71">
        <f>COUNTIF(F60:AB60,"&gt;=0")</f>
        <v>1</v>
      </c>
      <c r="E60" s="71">
        <f t="array" aca="1" ref="E60" ca="1">IF(Table2[[#This Row],[Total races]]&lt;11,SUM(Table2[[#This Row],[Derby 5k]:[Shepshed 7]]),SUM(LARGE(F60:AB60,ROW(INDIRECT("1:10")))))+Table2[[#This Row],[Total races]]*3</f>
        <v>14</v>
      </c>
      <c r="F60" s="71" t="str">
        <f>IFERROR(VLOOKUP(B60,'Derby 5K'!$B$4:$K$15,10,FALSE),"")</f>
        <v/>
      </c>
      <c r="G60" s="71" t="str">
        <f>IFERROR(VLOOKUP(B60,'Grace Dieu XC'!$A:$C,3,FALSE),"")</f>
        <v/>
      </c>
      <c r="H60" s="71" t="str">
        <f>IFERROR(VLOOKUP(B60,'Bosworth XC'!$A:$C,3,FALSE),"")</f>
        <v/>
      </c>
      <c r="I60" s="71" t="str">
        <f>IFERROR(VLOOKUP($B60,'Kibworth 6'!$A:$C,3,FALSE),"")</f>
        <v/>
      </c>
      <c r="J60" s="71" t="str">
        <f>IFERROR(VLOOKUP($B60,'Ivanhoe 20'!$A:$C,3,FALSE),"")</f>
        <v/>
      </c>
      <c r="K60" s="71" t="str">
        <f>IFERROR(VLOOKUP($B60,'Run In Forest'!$A:$C,3,FALSE),"")</f>
        <v/>
      </c>
      <c r="L60" s="71" t="str">
        <f>IFERROR(VLOOKUP($B60,'Stilton 7'!$A:$C,3,FALSE),"")</f>
        <v/>
      </c>
      <c r="M60" s="71" t="str">
        <f>IFERROR(VLOOKUP($B60,'Uttoxeter HM'!$A:$C,3,FALSE),"")</f>
        <v/>
      </c>
      <c r="N60" s="71" t="str">
        <f>IFERROR(VLOOKUP($B60,'Bosworth HM'!$A:$C,3,FALSE),"")</f>
        <v/>
      </c>
      <c r="O60" s="71" t="str">
        <f>IFERROR(VLOOKUP($B60,'West End 8'!$A:$C,3,FALSE),"")</f>
        <v/>
      </c>
      <c r="P60" s="71" t="str">
        <f>IFERROR(VLOOKUP($B60,'Swithland 6'!$A:$C,3,FALSE),"")</f>
        <v/>
      </c>
      <c r="Q60" s="71">
        <f>IFERROR(VLOOKUP($B60,'Washlands Relays'!$A:$C,3,FALSE),"")</f>
        <v>11</v>
      </c>
      <c r="R60" s="71" t="str">
        <f>IFERROR(VLOOKUP($B60,'Tara Kinder 10K'!$A:$C,3,FALSE),"")</f>
        <v/>
      </c>
      <c r="S60" s="71" t="str">
        <f>IFERROR(VLOOKUP($B60,'Worthington 6'!$A:$C,3,FALSE),"")</f>
        <v/>
      </c>
      <c r="T60" s="71" t="str">
        <f>IFERROR(VLOOKUP($B60,'Joy Cann 5'!$A:$C,3,FALSE),"")</f>
        <v/>
      </c>
      <c r="U60" s="71" t="str">
        <f>IFERROR(VLOOKUP($B60,'Burton 10k'!$A:$C,3,FALSE),"")</f>
        <v/>
      </c>
      <c r="V60" s="71" t="str">
        <f>IFERROR(VLOOKUP($B60,'Rotherby 8'!$A:$C,3,FALSE),"")</f>
        <v/>
      </c>
      <c r="W60" s="71" t="str">
        <f>IFERROR(VLOOKUP($B60,'Lichfield 10k'!$A:$C,3,FALSE),"")</f>
        <v/>
      </c>
      <c r="X60" s="71" t="str">
        <f>IFERROR(VLOOKUP($B60,'Adrian Smith'!$A:$C,3,FALSE),"")</f>
        <v/>
      </c>
      <c r="Y60" s="71" t="str">
        <f>IFERROR(VLOOKUP($B60,'Tamworth 5'!$A:$C,3,FALSE),"")</f>
        <v/>
      </c>
      <c r="Z60" s="72" t="str">
        <f>IFERROR(VLOOKUP($B60,'Bagworth XC'!$A:$C,3,FALSE),"")</f>
        <v/>
      </c>
      <c r="AA60" s="71" t="str">
        <f>IFERROR(VLOOKUP($B60,'Markfield 10k'!$A:$C,3,FALSE),"")</f>
        <v/>
      </c>
      <c r="AB60" s="71" t="str">
        <f>IFERROR(VLOOKUP($B60,'Shepshed 7'!$A:$C,3,FALSE),"")</f>
        <v/>
      </c>
    </row>
    <row r="61" spans="1:28" x14ac:dyDescent="0.25">
      <c r="A61" s="42">
        <f ca="1">IFERROR(Table2[[#This Row],[Position]],"")</f>
        <v>59</v>
      </c>
      <c r="B61" s="70" t="s">
        <v>70</v>
      </c>
      <c r="C61" s="81">
        <f ca="1">IF(Table2[[#This Row],[Total races]]=0,0,(RANK(E61,$E$3:$E$69)+COUNTIF(E61:$E$67,E61)-1))</f>
        <v>59</v>
      </c>
      <c r="D61" s="71">
        <f>COUNTIF(F61:AB61,"&gt;=0")</f>
        <v>1</v>
      </c>
      <c r="E61" s="71">
        <f t="array" aca="1" ref="E61" ca="1">IF(Table2[[#This Row],[Total races]]&lt;11,SUM(Table2[[#This Row],[Derby 5k]:[Shepshed 7]]),SUM(LARGE(F61:AB61,ROW(INDIRECT("1:10")))))+Table2[[#This Row],[Total races]]*3</f>
        <v>5</v>
      </c>
      <c r="F61" s="71" t="str">
        <f>IFERROR(VLOOKUP(B61,'Derby 5K'!$B$4:$K$15,10,FALSE),"")</f>
        <v/>
      </c>
      <c r="G61" s="71" t="str">
        <f>IFERROR(VLOOKUP(B61,'Grace Dieu XC'!$A:$C,3,FALSE),"")</f>
        <v/>
      </c>
      <c r="H61" s="71" t="str">
        <f>IFERROR(VLOOKUP(B61,'Bosworth XC'!$A:$C,3,FALSE),"")</f>
        <v/>
      </c>
      <c r="I61" s="71" t="str">
        <f>IFERROR(VLOOKUP($B61,'Kibworth 6'!$A:$C,3,FALSE),"")</f>
        <v/>
      </c>
      <c r="J61" s="71" t="str">
        <f>IFERROR(VLOOKUP($B61,'Ivanhoe 20'!$A:$C,3,FALSE),"")</f>
        <v/>
      </c>
      <c r="K61" s="71" t="str">
        <f>IFERROR(VLOOKUP($B61,'Run In Forest'!$A:$C,3,FALSE),"")</f>
        <v/>
      </c>
      <c r="L61" s="71" t="str">
        <f>IFERROR(VLOOKUP($B61,'Stilton 7'!$A:$C,3,FALSE),"")</f>
        <v/>
      </c>
      <c r="M61" s="71" t="str">
        <f>IFERROR(VLOOKUP($B61,'Uttoxeter HM'!$A:$C,3,FALSE),"")</f>
        <v/>
      </c>
      <c r="N61" s="71" t="str">
        <f>IFERROR(VLOOKUP($B61,'Bosworth HM'!$A:$C,3,FALSE),"")</f>
        <v/>
      </c>
      <c r="O61" s="71" t="str">
        <f>IFERROR(VLOOKUP($B61,'West End 8'!$A:$C,3,FALSE),"")</f>
        <v/>
      </c>
      <c r="P61" s="71" t="str">
        <f>IFERROR(VLOOKUP($B61,'Swithland 6'!$A:$C,3,FALSE),"")</f>
        <v/>
      </c>
      <c r="Q61" s="71">
        <f>IFERROR(VLOOKUP($B61,'Washlands Relays'!$A:$C,3,FALSE),"")</f>
        <v>2</v>
      </c>
      <c r="R61" s="71" t="str">
        <f>IFERROR(VLOOKUP($B61,'Tara Kinder 10K'!$A:$C,3,FALSE),"")</f>
        <v/>
      </c>
      <c r="S61" s="71" t="str">
        <f>IFERROR(VLOOKUP($B61,'Worthington 6'!$A:$C,3,FALSE),"")</f>
        <v/>
      </c>
      <c r="T61" s="71" t="str">
        <f>IFERROR(VLOOKUP($B61,'Joy Cann 5'!$A:$C,3,FALSE),"")</f>
        <v/>
      </c>
      <c r="U61" s="71" t="str">
        <f>IFERROR(VLOOKUP($B61,'Burton 10k'!$A:$C,3,FALSE),"")</f>
        <v/>
      </c>
      <c r="V61" s="71" t="str">
        <f>IFERROR(VLOOKUP($B61,'Rotherby 8'!$A:$C,3,FALSE),"")</f>
        <v/>
      </c>
      <c r="W61" s="71" t="str">
        <f>IFERROR(VLOOKUP($B61,'Lichfield 10k'!$A:$C,3,FALSE),"")</f>
        <v/>
      </c>
      <c r="X61" s="71" t="str">
        <f>IFERROR(VLOOKUP($B61,'Adrian Smith'!$A:$C,3,FALSE),"")</f>
        <v/>
      </c>
      <c r="Y61" s="71" t="str">
        <f>IFERROR(VLOOKUP($B61,'Tamworth 5'!$A:$C,3,FALSE),"")</f>
        <v/>
      </c>
      <c r="Z61" s="72" t="str">
        <f>IFERROR(VLOOKUP($B61,'Bagworth XC'!$A:$C,3,FALSE),"")</f>
        <v/>
      </c>
      <c r="AA61" s="71" t="str">
        <f>IFERROR(VLOOKUP($B61,'Markfield 10k'!$A:$C,3,FALSE),"")</f>
        <v/>
      </c>
      <c r="AB61" s="71" t="str">
        <f>IFERROR(VLOOKUP($B61,'Shepshed 7'!$A:$C,3,FALSE),"")</f>
        <v/>
      </c>
    </row>
    <row r="62" spans="1:28" x14ac:dyDescent="0.25">
      <c r="B62" s="70" t="s">
        <v>55</v>
      </c>
      <c r="C62" s="81">
        <f>IF(Table2[[#This Row],[Total races]]=0,0,(RANK(E62,$E$3:$E$69)+COUNTIF(E62:$E$67,E62)-1))</f>
        <v>0</v>
      </c>
      <c r="D62" s="71">
        <f>COUNTIF(F62:AB62,"&gt;=0")</f>
        <v>0</v>
      </c>
      <c r="E62" s="71">
        <f t="array" aca="1" ref="E62" ca="1">IF(Table2[[#This Row],[Total races]]&lt;11,SUM(Table2[[#This Row],[Derby 5k]:[Shepshed 7]]),SUM(LARGE(F62:AB62,ROW(INDIRECT("1:10")))))+Table2[[#This Row],[Total races]]*3</f>
        <v>0</v>
      </c>
      <c r="F62" s="71" t="str">
        <f>IFERROR(VLOOKUP(B62,'Derby 5K'!$B$4:$K$15,10,FALSE),"")</f>
        <v/>
      </c>
      <c r="G62" s="71" t="str">
        <f>IFERROR(VLOOKUP(B62,'Grace Dieu XC'!$A:$C,3,FALSE),"")</f>
        <v/>
      </c>
      <c r="H62" s="71" t="str">
        <f>IFERROR(VLOOKUP(B62,'Bosworth XC'!$A:$C,3,FALSE),"")</f>
        <v/>
      </c>
      <c r="I62" s="71" t="str">
        <f>IFERROR(VLOOKUP($B62,'Kibworth 6'!$A:$C,3,FALSE),"")</f>
        <v/>
      </c>
      <c r="J62" s="71" t="str">
        <f>IFERROR(VLOOKUP($B62,'Ivanhoe 20'!$A:$C,3,FALSE),"")</f>
        <v/>
      </c>
      <c r="K62" s="71" t="str">
        <f>IFERROR(VLOOKUP($B62,'Run In Forest'!$A:$C,3,FALSE),"")</f>
        <v/>
      </c>
      <c r="L62" s="71" t="str">
        <f>IFERROR(VLOOKUP($B62,'Stilton 7'!$A:$C,3,FALSE),"")</f>
        <v/>
      </c>
      <c r="M62" s="71" t="str">
        <f>IFERROR(VLOOKUP($B62,'Uttoxeter HM'!$A:$C,3,FALSE),"")</f>
        <v/>
      </c>
      <c r="N62" s="71" t="str">
        <f>IFERROR(VLOOKUP($B62,'Bosworth HM'!$A:$C,3,FALSE),"")</f>
        <v/>
      </c>
      <c r="O62" s="71" t="str">
        <f>IFERROR(VLOOKUP($B62,'West End 8'!$A:$C,3,FALSE),"")</f>
        <v/>
      </c>
      <c r="P62" s="71" t="str">
        <f>IFERROR(VLOOKUP($B62,'Swithland 6'!$A:$C,3,FALSE),"")</f>
        <v/>
      </c>
      <c r="Q62" s="71" t="str">
        <f>IFERROR(VLOOKUP($B62,'Washlands Relays'!$A:$C,3,FALSE),"")</f>
        <v/>
      </c>
      <c r="R62" s="71" t="str">
        <f>IFERROR(VLOOKUP($B62,'Tara Kinder 10K'!$A:$C,3,FALSE),"")</f>
        <v/>
      </c>
      <c r="S62" s="71" t="str">
        <f>IFERROR(VLOOKUP($B62,'Worthington 6'!$A:$C,3,FALSE),"")</f>
        <v/>
      </c>
      <c r="T62" s="71" t="str">
        <f>IFERROR(VLOOKUP($B62,'Joy Cann 5'!$A:$C,3,FALSE),"")</f>
        <v/>
      </c>
      <c r="U62" s="71" t="str">
        <f>IFERROR(VLOOKUP($B62,'Burton 10k'!$A:$C,3,FALSE),"")</f>
        <v/>
      </c>
      <c r="V62" s="71" t="str">
        <f>IFERROR(VLOOKUP($B62,'Rotherby 8'!$A:$C,3,FALSE),"")</f>
        <v/>
      </c>
      <c r="W62" s="71" t="str">
        <f>IFERROR(VLOOKUP($B62,'Lichfield 10k'!$A:$C,3,FALSE),"")</f>
        <v/>
      </c>
      <c r="X62" s="71" t="str">
        <f>IFERROR(VLOOKUP($B62,'Adrian Smith'!$A:$C,3,FALSE),"")</f>
        <v/>
      </c>
      <c r="Y62" s="71" t="str">
        <f>IFERROR(VLOOKUP($B62,'Tamworth 5'!$A:$C,3,FALSE),"")</f>
        <v/>
      </c>
      <c r="Z62" s="72" t="str">
        <f>IFERROR(VLOOKUP($B62,'Bagworth XC'!$A:$C,3,FALSE),"")</f>
        <v/>
      </c>
      <c r="AA62" s="71" t="str">
        <f>IFERROR(VLOOKUP($B62,'Markfield 10k'!$A:$C,3,FALSE),"")</f>
        <v/>
      </c>
      <c r="AB62" s="71" t="str">
        <f>IFERROR(VLOOKUP($B62,'Shepshed 7'!$A:$C,3,FALSE),"")</f>
        <v/>
      </c>
    </row>
    <row r="63" spans="1:28" x14ac:dyDescent="0.25">
      <c r="B63" s="70" t="s">
        <v>115</v>
      </c>
      <c r="C63" s="81">
        <f>IF(Table2[[#This Row],[Total races]]=0,0,(RANK(E63,$E$3:$E$69)+COUNTIF(E63:$E$67,E63)-1))</f>
        <v>0</v>
      </c>
      <c r="D63" s="71">
        <f>COUNTIF(F63:AB63,"&gt;=0")</f>
        <v>0</v>
      </c>
      <c r="E63" s="71">
        <f t="array" aca="1" ref="E63" ca="1">IF(Table2[[#This Row],[Total races]]&lt;11,SUM(Table2[[#This Row],[Derby 5k]:[Shepshed 7]]),SUM(LARGE(F63:AB63,ROW(INDIRECT("1:10")))))+Table2[[#This Row],[Total races]]*3</f>
        <v>0</v>
      </c>
      <c r="F63" s="71" t="str">
        <f>IFERROR(VLOOKUP(B63,'Derby 5K'!$B$4:$K$15,10,FALSE),"")</f>
        <v/>
      </c>
      <c r="G63" s="71" t="str">
        <f>IFERROR(VLOOKUP(B63,'Grace Dieu XC'!$A:$C,3,FALSE),"")</f>
        <v/>
      </c>
      <c r="H63" s="71" t="str">
        <f>IFERROR(VLOOKUP(B63,'Bosworth XC'!$A:$C,3,FALSE),"")</f>
        <v/>
      </c>
      <c r="I63" s="71" t="str">
        <f>IFERROR(VLOOKUP($B63,'Kibworth 6'!$A:$C,3,FALSE),"")</f>
        <v/>
      </c>
      <c r="J63" s="71" t="str">
        <f>IFERROR(VLOOKUP($B63,'Ivanhoe 20'!$A:$C,3,FALSE),"")</f>
        <v/>
      </c>
      <c r="K63" s="71" t="str">
        <f>IFERROR(VLOOKUP($B63,'Run In Forest'!$A:$C,3,FALSE),"")</f>
        <v/>
      </c>
      <c r="L63" s="71" t="str">
        <f>IFERROR(VLOOKUP($B63,'Stilton 7'!$A:$C,3,FALSE),"")</f>
        <v/>
      </c>
      <c r="M63" s="71" t="str">
        <f>IFERROR(VLOOKUP($B63,'Uttoxeter HM'!$A:$C,3,FALSE),"")</f>
        <v/>
      </c>
      <c r="N63" s="71" t="str">
        <f>IFERROR(VLOOKUP($B63,'Bosworth HM'!$A:$C,3,FALSE),"")</f>
        <v/>
      </c>
      <c r="O63" s="71" t="str">
        <f>IFERROR(VLOOKUP($B63,'West End 8'!$A:$C,3,FALSE),"")</f>
        <v/>
      </c>
      <c r="P63" s="71" t="str">
        <f>IFERROR(VLOOKUP($B63,'Swithland 6'!$A:$C,3,FALSE),"")</f>
        <v/>
      </c>
      <c r="Q63" s="71" t="str">
        <f>IFERROR(VLOOKUP($B63,'Washlands Relays'!$A:$C,3,FALSE),"")</f>
        <v/>
      </c>
      <c r="R63" s="71" t="str">
        <f>IFERROR(VLOOKUP($B63,'Tara Kinder 10K'!$A:$C,3,FALSE),"")</f>
        <v/>
      </c>
      <c r="S63" s="71" t="str">
        <f>IFERROR(VLOOKUP($B63,'Worthington 6'!$A:$C,3,FALSE),"")</f>
        <v/>
      </c>
      <c r="T63" s="71" t="str">
        <f>IFERROR(VLOOKUP($B63,'Joy Cann 5'!$A:$C,3,FALSE),"")</f>
        <v/>
      </c>
      <c r="U63" s="71" t="str">
        <f>IFERROR(VLOOKUP($B63,'Burton 10k'!$A:$C,3,FALSE),"")</f>
        <v/>
      </c>
      <c r="V63" s="71" t="str">
        <f>IFERROR(VLOOKUP($B63,'Rotherby 8'!$A:$C,3,FALSE),"")</f>
        <v/>
      </c>
      <c r="W63" s="71" t="str">
        <f>IFERROR(VLOOKUP($B63,'Lichfield 10k'!$A:$C,3,FALSE),"")</f>
        <v/>
      </c>
      <c r="X63" s="71" t="str">
        <f>IFERROR(VLOOKUP($B63,'Adrian Smith'!$A:$C,3,FALSE),"")</f>
        <v/>
      </c>
      <c r="Y63" s="71" t="str">
        <f>IFERROR(VLOOKUP($B63,'Tamworth 5'!$A:$C,3,FALSE),"")</f>
        <v/>
      </c>
      <c r="Z63" s="72" t="str">
        <f>IFERROR(VLOOKUP($B63,'Bagworth XC'!$A:$C,3,FALSE),"")</f>
        <v/>
      </c>
      <c r="AA63" s="71" t="str">
        <f>IFERROR(VLOOKUP($B63,'Markfield 10k'!$A:$C,3,FALSE),"")</f>
        <v/>
      </c>
      <c r="AB63" s="71" t="str">
        <f>IFERROR(VLOOKUP($B63,'Shepshed 7'!$A:$C,3,FALSE),"")</f>
        <v/>
      </c>
    </row>
    <row r="64" spans="1:28" x14ac:dyDescent="0.25">
      <c r="B64" s="70" t="s">
        <v>8</v>
      </c>
      <c r="C64" s="81">
        <f>IF(Table2[[#This Row],[Total races]]=0,0,(RANK(E64,$E$3:$E$69)+COUNTIF(E64:$E$67,E64)-1))</f>
        <v>0</v>
      </c>
      <c r="D64" s="71">
        <f>COUNTIF(F64:AB64,"&gt;=0")</f>
        <v>0</v>
      </c>
      <c r="E64" s="71">
        <f t="array" aca="1" ref="E64" ca="1">IF(Table2[[#This Row],[Total races]]&lt;11,SUM(Table2[[#This Row],[Derby 5k]:[Shepshed 7]]),SUM(LARGE(F64:AB64,ROW(INDIRECT("1:10")))))+Table2[[#This Row],[Total races]]*3</f>
        <v>0</v>
      </c>
      <c r="F64" s="71" t="str">
        <f>IFERROR(VLOOKUP(B64,'Derby 5K'!$B$4:$K$15,10,FALSE),"")</f>
        <v/>
      </c>
      <c r="G64" s="71" t="str">
        <f>IFERROR(VLOOKUP(B64,'Grace Dieu XC'!$A:$C,3,FALSE),"")</f>
        <v/>
      </c>
      <c r="H64" s="71" t="str">
        <f>IFERROR(VLOOKUP(B64,'Bosworth XC'!$A:$C,3,FALSE),"")</f>
        <v/>
      </c>
      <c r="I64" s="71" t="str">
        <f>IFERROR(VLOOKUP($B64,'Kibworth 6'!$A:$C,3,FALSE),"")</f>
        <v/>
      </c>
      <c r="J64" s="71" t="str">
        <f>IFERROR(VLOOKUP($B64,'Ivanhoe 20'!$A:$C,3,FALSE),"")</f>
        <v/>
      </c>
      <c r="K64" s="71" t="str">
        <f>IFERROR(VLOOKUP($B64,'Run In Forest'!$A:$C,3,FALSE),"")</f>
        <v/>
      </c>
      <c r="L64" s="71" t="str">
        <f>IFERROR(VLOOKUP($B64,'Stilton 7'!$A:$C,3,FALSE),"")</f>
        <v/>
      </c>
      <c r="M64" s="71" t="str">
        <f>IFERROR(VLOOKUP($B64,'Uttoxeter HM'!$A:$C,3,FALSE),"")</f>
        <v/>
      </c>
      <c r="N64" s="71" t="str">
        <f>IFERROR(VLOOKUP($B64,'Bosworth HM'!$A:$C,3,FALSE),"")</f>
        <v/>
      </c>
      <c r="O64" s="71" t="str">
        <f>IFERROR(VLOOKUP($B64,'West End 8'!$A:$C,3,FALSE),"")</f>
        <v/>
      </c>
      <c r="P64" s="71" t="str">
        <f>IFERROR(VLOOKUP($B64,'Swithland 6'!$A:$C,3,FALSE),"")</f>
        <v/>
      </c>
      <c r="Q64" s="71" t="str">
        <f>IFERROR(VLOOKUP($B64,'Washlands Relays'!$A:$C,3,FALSE),"")</f>
        <v/>
      </c>
      <c r="R64" s="71" t="str">
        <f>IFERROR(VLOOKUP($B64,'Tara Kinder 10K'!$A:$C,3,FALSE),"")</f>
        <v/>
      </c>
      <c r="S64" s="71" t="str">
        <f>IFERROR(VLOOKUP($B64,'Worthington 6'!$A:$C,3,FALSE),"")</f>
        <v/>
      </c>
      <c r="T64" s="71" t="str">
        <f>IFERROR(VLOOKUP($B64,'Joy Cann 5'!$A:$C,3,FALSE),"")</f>
        <v/>
      </c>
      <c r="U64" s="71" t="str">
        <f>IFERROR(VLOOKUP($B64,'Burton 10k'!$A:$C,3,FALSE),"")</f>
        <v/>
      </c>
      <c r="V64" s="71" t="str">
        <f>IFERROR(VLOOKUP($B64,'Rotherby 8'!$A:$C,3,FALSE),"")</f>
        <v/>
      </c>
      <c r="W64" s="71" t="str">
        <f>IFERROR(VLOOKUP($B64,'Lichfield 10k'!$A:$C,3,FALSE),"")</f>
        <v/>
      </c>
      <c r="X64" s="71" t="str">
        <f>IFERROR(VLOOKUP($B64,'Adrian Smith'!$A:$C,3,FALSE),"")</f>
        <v/>
      </c>
      <c r="Y64" s="71" t="str">
        <f>IFERROR(VLOOKUP($B64,'Tamworth 5'!$A:$C,3,FALSE),"")</f>
        <v/>
      </c>
      <c r="Z64" s="72" t="str">
        <f>IFERROR(VLOOKUP($B64,'Bagworth XC'!$A:$C,3,FALSE),"")</f>
        <v/>
      </c>
      <c r="AA64" s="71" t="str">
        <f>IFERROR(VLOOKUP($B64,'Markfield 10k'!$A:$C,3,FALSE),"")</f>
        <v/>
      </c>
      <c r="AB64" s="71" t="str">
        <f>IFERROR(VLOOKUP($B64,'Shepshed 7'!$A:$C,3,FALSE),"")</f>
        <v/>
      </c>
    </row>
    <row r="65" spans="2:28" x14ac:dyDescent="0.25">
      <c r="B65" s="70" t="s">
        <v>77</v>
      </c>
      <c r="C65" s="81">
        <f>IF(Table2[[#This Row],[Total races]]=0,0,(RANK(E65,$E$3:$E$69)+COUNTIF(E65:$E$67,E65)-1))</f>
        <v>0</v>
      </c>
      <c r="D65" s="71">
        <f>COUNTIF(F65:AB65,"&gt;=0")</f>
        <v>0</v>
      </c>
      <c r="E65" s="71">
        <f t="array" aca="1" ref="E65" ca="1">IF(Table2[[#This Row],[Total races]]&lt;11,SUM(Table2[[#This Row],[Derby 5k]:[Shepshed 7]]),SUM(LARGE(F65:AB65,ROW(INDIRECT("1:10")))))+Table2[[#This Row],[Total races]]*3</f>
        <v>0</v>
      </c>
      <c r="F65" s="71" t="str">
        <f>IFERROR(VLOOKUP(B65,'Derby 5K'!$B$4:$K$15,10,FALSE),"")</f>
        <v/>
      </c>
      <c r="G65" s="71" t="str">
        <f>IFERROR(VLOOKUP(B65,'Grace Dieu XC'!$A:$C,3,FALSE),"")</f>
        <v/>
      </c>
      <c r="H65" s="71" t="str">
        <f>IFERROR(VLOOKUP(B65,'Bosworth XC'!$A:$C,3,FALSE),"")</f>
        <v/>
      </c>
      <c r="I65" s="71" t="str">
        <f>IFERROR(VLOOKUP($B65,'Kibworth 6'!$A:$C,3,FALSE),"")</f>
        <v/>
      </c>
      <c r="J65" s="71" t="str">
        <f>IFERROR(VLOOKUP($B65,'Ivanhoe 20'!$A:$C,3,FALSE),"")</f>
        <v/>
      </c>
      <c r="K65" s="71" t="str">
        <f>IFERROR(VLOOKUP($B65,'Run In Forest'!$A:$C,3,FALSE),"")</f>
        <v/>
      </c>
      <c r="L65" s="71" t="str">
        <f>IFERROR(VLOOKUP($B65,'Stilton 7'!$A:$C,3,FALSE),"")</f>
        <v/>
      </c>
      <c r="M65" s="71" t="str">
        <f>IFERROR(VLOOKUP($B65,'Uttoxeter HM'!$A:$C,3,FALSE),"")</f>
        <v/>
      </c>
      <c r="N65" s="71" t="str">
        <f>IFERROR(VLOOKUP($B65,'Bosworth HM'!$A:$C,3,FALSE),"")</f>
        <v/>
      </c>
      <c r="O65" s="71" t="str">
        <f>IFERROR(VLOOKUP($B65,'West End 8'!$A:$C,3,FALSE),"")</f>
        <v/>
      </c>
      <c r="P65" s="71" t="str">
        <f>IFERROR(VLOOKUP($B65,'Swithland 6'!$A:$C,3,FALSE),"")</f>
        <v/>
      </c>
      <c r="Q65" s="71" t="str">
        <f>IFERROR(VLOOKUP($B65,'Washlands Relays'!$A:$C,3,FALSE),"")</f>
        <v/>
      </c>
      <c r="R65" s="71" t="str">
        <f>IFERROR(VLOOKUP($B65,'Tara Kinder 10K'!$A:$C,3,FALSE),"")</f>
        <v/>
      </c>
      <c r="S65" s="71" t="str">
        <f>IFERROR(VLOOKUP($B65,'Worthington 6'!$A:$C,3,FALSE),"")</f>
        <v/>
      </c>
      <c r="T65" s="71" t="str">
        <f>IFERROR(VLOOKUP($B65,'Joy Cann 5'!$A:$C,3,FALSE),"")</f>
        <v/>
      </c>
      <c r="U65" s="71" t="str">
        <f>IFERROR(VLOOKUP($B65,'Burton 10k'!$A:$C,3,FALSE),"")</f>
        <v/>
      </c>
      <c r="V65" s="71" t="str">
        <f>IFERROR(VLOOKUP($B65,'Rotherby 8'!$A:$C,3,FALSE),"")</f>
        <v/>
      </c>
      <c r="W65" s="71" t="str">
        <f>IFERROR(VLOOKUP($B65,'Lichfield 10k'!$A:$C,3,FALSE),"")</f>
        <v/>
      </c>
      <c r="X65" s="71" t="str">
        <f>IFERROR(VLOOKUP($B65,'Adrian Smith'!$A:$C,3,FALSE),"")</f>
        <v/>
      </c>
      <c r="Y65" s="71" t="str">
        <f>IFERROR(VLOOKUP($B65,'Tamworth 5'!$A:$C,3,FALSE),"")</f>
        <v/>
      </c>
      <c r="Z65" s="72" t="str">
        <f>IFERROR(VLOOKUP($B65,'Bagworth XC'!$A:$C,3,FALSE),"")</f>
        <v/>
      </c>
      <c r="AA65" s="71" t="str">
        <f>IFERROR(VLOOKUP($B65,'Markfield 10k'!$A:$C,3,FALSE),"")</f>
        <v/>
      </c>
      <c r="AB65" s="71" t="str">
        <f>IFERROR(VLOOKUP($B65,'Shepshed 7'!$A:$C,3,FALSE),"")</f>
        <v/>
      </c>
    </row>
    <row r="66" spans="2:28" x14ac:dyDescent="0.25">
      <c r="B66" s="70" t="s">
        <v>131</v>
      </c>
      <c r="C66" s="81">
        <f>IF(Table2[[#This Row],[Total races]]=0,0,(RANK(E66,$E$3:$E$69)+COUNTIF(E66:$E$67,E66)-1))</f>
        <v>0</v>
      </c>
      <c r="D66" s="71">
        <f>COUNTIF(F66:AB66,"&gt;=0")</f>
        <v>0</v>
      </c>
      <c r="E66" s="71">
        <f t="array" aca="1" ref="E66" ca="1">IF(Table2[[#This Row],[Total races]]&lt;11,SUM(Table2[[#This Row],[Derby 5k]:[Shepshed 7]]),SUM(LARGE(F66:AB66,ROW(INDIRECT("1:10")))))+Table2[[#This Row],[Total races]]*3</f>
        <v>0</v>
      </c>
      <c r="F66" s="71" t="str">
        <f>IFERROR(VLOOKUP(B66,'Derby 5K'!$B$4:$K$15,10,FALSE),"")</f>
        <v/>
      </c>
      <c r="G66" s="71" t="str">
        <f>IFERROR(VLOOKUP(B66,'Grace Dieu XC'!$A:$C,3,FALSE),"")</f>
        <v/>
      </c>
      <c r="H66" s="71" t="str">
        <f>IFERROR(VLOOKUP(B66,'Bosworth XC'!$A:$C,3,FALSE),"")</f>
        <v/>
      </c>
      <c r="I66" s="71" t="str">
        <f>IFERROR(VLOOKUP($B66,'Kibworth 6'!$A:$C,3,FALSE),"")</f>
        <v/>
      </c>
      <c r="J66" s="71" t="str">
        <f>IFERROR(VLOOKUP($B66,'Ivanhoe 20'!$A:$C,3,FALSE),"")</f>
        <v/>
      </c>
      <c r="K66" s="71" t="str">
        <f>IFERROR(VLOOKUP($B66,'Run In Forest'!$A:$C,3,FALSE),"")</f>
        <v/>
      </c>
      <c r="L66" s="71" t="str">
        <f>IFERROR(VLOOKUP($B66,'Stilton 7'!$A:$C,3,FALSE),"")</f>
        <v/>
      </c>
      <c r="M66" s="71" t="str">
        <f>IFERROR(VLOOKUP($B66,'Uttoxeter HM'!$A:$C,3,FALSE),"")</f>
        <v/>
      </c>
      <c r="N66" s="71" t="str">
        <f>IFERROR(VLOOKUP($B66,'Bosworth HM'!$A:$C,3,FALSE),"")</f>
        <v/>
      </c>
      <c r="O66" s="71" t="str">
        <f>IFERROR(VLOOKUP($B66,'West End 8'!$A:$C,3,FALSE),"")</f>
        <v/>
      </c>
      <c r="P66" s="71" t="str">
        <f>IFERROR(VLOOKUP($B66,'Swithland 6'!$A:$C,3,FALSE),"")</f>
        <v/>
      </c>
      <c r="Q66" s="71" t="str">
        <f>IFERROR(VLOOKUP($B66,'Washlands Relays'!$A:$C,3,FALSE),"")</f>
        <v/>
      </c>
      <c r="R66" s="71" t="str">
        <f>IFERROR(VLOOKUP($B66,'Tara Kinder 10K'!$A:$C,3,FALSE),"")</f>
        <v/>
      </c>
      <c r="S66" s="71" t="str">
        <f>IFERROR(VLOOKUP($B66,'Worthington 6'!$A:$C,3,FALSE),"")</f>
        <v/>
      </c>
      <c r="T66" s="71" t="str">
        <f>IFERROR(VLOOKUP($B66,'Joy Cann 5'!$A:$C,3,FALSE),"")</f>
        <v/>
      </c>
      <c r="U66" s="71" t="str">
        <f>IFERROR(VLOOKUP($B66,'Burton 10k'!$A:$C,3,FALSE),"")</f>
        <v/>
      </c>
      <c r="V66" s="71" t="str">
        <f>IFERROR(VLOOKUP($B66,'Rotherby 8'!$A:$C,3,FALSE),"")</f>
        <v/>
      </c>
      <c r="W66" s="71" t="str">
        <f>IFERROR(VLOOKUP($B66,'Lichfield 10k'!$A:$C,3,FALSE),"")</f>
        <v/>
      </c>
      <c r="X66" s="71" t="str">
        <f>IFERROR(VLOOKUP($B66,'Adrian Smith'!$A:$C,3,FALSE),"")</f>
        <v/>
      </c>
      <c r="Y66" s="71" t="str">
        <f>IFERROR(VLOOKUP($B66,'Tamworth 5'!$A:$C,3,FALSE),"")</f>
        <v/>
      </c>
      <c r="Z66" s="72" t="str">
        <f>IFERROR(VLOOKUP($B66,'Bagworth XC'!$A:$C,3,FALSE),"")</f>
        <v/>
      </c>
      <c r="AA66" s="71" t="str">
        <f>IFERROR(VLOOKUP($B66,'Markfield 10k'!$A:$C,3,FALSE),"")</f>
        <v/>
      </c>
      <c r="AB66" s="71" t="str">
        <f>IFERROR(VLOOKUP($B66,'Shepshed 7'!$A:$C,3,FALSE),"")</f>
        <v/>
      </c>
    </row>
    <row r="67" spans="2:28" x14ac:dyDescent="0.25">
      <c r="B67" s="70" t="s">
        <v>117</v>
      </c>
      <c r="C67" s="81">
        <f>IF(Table2[[#This Row],[Total races]]=0,0,(RANK(E67,$E$3:$E$69)+COUNTIF(E67:$E$67,E67)-1))</f>
        <v>0</v>
      </c>
      <c r="D67" s="71">
        <f>COUNTIF(F67:AB67,"&gt;=0")</f>
        <v>0</v>
      </c>
      <c r="E67" s="71">
        <f t="array" aca="1" ref="E67" ca="1">IF(Table2[[#This Row],[Total races]]&lt;11,SUM(Table2[[#This Row],[Derby 5k]:[Shepshed 7]]),SUM(LARGE(F67:AB67,ROW(INDIRECT("1:10")))))+Table2[[#This Row],[Total races]]*3</f>
        <v>0</v>
      </c>
      <c r="F67" s="71" t="str">
        <f>IFERROR(VLOOKUP(B67,'Derby 5K'!$B$4:$K$15,10,FALSE),"")</f>
        <v/>
      </c>
      <c r="G67" s="71" t="str">
        <f>IFERROR(VLOOKUP(B67,'Grace Dieu XC'!$A:$C,3,FALSE),"")</f>
        <v/>
      </c>
      <c r="H67" s="71" t="str">
        <f>IFERROR(VLOOKUP(B67,'Bosworth XC'!$A:$C,3,FALSE),"")</f>
        <v/>
      </c>
      <c r="I67" s="71" t="str">
        <f>IFERROR(VLOOKUP($B67,'Kibworth 6'!$A:$C,3,FALSE),"")</f>
        <v/>
      </c>
      <c r="J67" s="71" t="str">
        <f>IFERROR(VLOOKUP($B67,'Ivanhoe 20'!$A:$C,3,FALSE),"")</f>
        <v/>
      </c>
      <c r="K67" s="71" t="str">
        <f>IFERROR(VLOOKUP($B67,'Run In Forest'!$A:$C,3,FALSE),"")</f>
        <v/>
      </c>
      <c r="L67" s="71" t="str">
        <f>IFERROR(VLOOKUP($B67,'Stilton 7'!$A:$C,3,FALSE),"")</f>
        <v/>
      </c>
      <c r="M67" s="71" t="str">
        <f>IFERROR(VLOOKUP($B67,'Uttoxeter HM'!$A:$C,3,FALSE),"")</f>
        <v/>
      </c>
      <c r="N67" s="71" t="str">
        <f>IFERROR(VLOOKUP($B67,'Bosworth HM'!$A:$C,3,FALSE),"")</f>
        <v/>
      </c>
      <c r="O67" s="71" t="str">
        <f>IFERROR(VLOOKUP($B67,'West End 8'!$A:$C,3,FALSE),"")</f>
        <v/>
      </c>
      <c r="P67" s="71" t="str">
        <f>IFERROR(VLOOKUP($B67,'Swithland 6'!$A:$C,3,FALSE),"")</f>
        <v/>
      </c>
      <c r="Q67" s="71" t="str">
        <f>IFERROR(VLOOKUP($B67,'Washlands Relays'!$A:$C,3,FALSE),"")</f>
        <v/>
      </c>
      <c r="R67" s="71" t="str">
        <f>IFERROR(VLOOKUP($B67,'Tara Kinder 10K'!$A:$C,3,FALSE),"")</f>
        <v/>
      </c>
      <c r="S67" s="71" t="str">
        <f>IFERROR(VLOOKUP($B67,'Worthington 6'!$A:$C,3,FALSE),"")</f>
        <v/>
      </c>
      <c r="T67" s="71" t="str">
        <f>IFERROR(VLOOKUP($B67,'Joy Cann 5'!$A:$C,3,FALSE),"")</f>
        <v/>
      </c>
      <c r="U67" s="71" t="str">
        <f>IFERROR(VLOOKUP($B67,'Burton 10k'!$A:$C,3,FALSE),"")</f>
        <v/>
      </c>
      <c r="V67" s="71" t="str">
        <f>IFERROR(VLOOKUP($B67,'Rotherby 8'!$A:$C,3,FALSE),"")</f>
        <v/>
      </c>
      <c r="W67" s="71" t="str">
        <f>IFERROR(VLOOKUP($B67,'Lichfield 10k'!$A:$C,3,FALSE),"")</f>
        <v/>
      </c>
      <c r="X67" s="71" t="str">
        <f>IFERROR(VLOOKUP($B67,'Adrian Smith'!$A:$C,3,FALSE),"")</f>
        <v/>
      </c>
      <c r="Y67" s="71" t="str">
        <f>IFERROR(VLOOKUP($B67,'Tamworth 5'!$A:$C,3,FALSE),"")</f>
        <v/>
      </c>
      <c r="Z67" s="72" t="str">
        <f>IFERROR(VLOOKUP($B67,'Bagworth XC'!$A:$C,3,FALSE),"")</f>
        <v/>
      </c>
      <c r="AA67" s="71" t="str">
        <f>IFERROR(VLOOKUP($B67,'Markfield 10k'!$A:$C,3,FALSE),"")</f>
        <v/>
      </c>
      <c r="AB67" s="71" t="str">
        <f>IFERROR(VLOOKUP($B67,'Shepshed 7'!$A:$C,3,FALSE),"")</f>
        <v/>
      </c>
    </row>
    <row r="68" spans="2:28" x14ac:dyDescent="0.25">
      <c r="B68" s="70" t="s">
        <v>104</v>
      </c>
      <c r="C68" s="81">
        <f>IF(Table2[[#This Row],[Total races]]=0,0,(RANK(E68,$E$3:$E$69)+COUNTIF(E$67:$E68,E68)-1))</f>
        <v>0</v>
      </c>
      <c r="D68" s="71">
        <f>COUNTIF(F68:AB68,"&gt;=0")</f>
        <v>0</v>
      </c>
      <c r="E68" s="71">
        <f t="array" aca="1" ref="E68" ca="1">IF(Table2[[#This Row],[Total races]]&lt;11,SUM(Table2[[#This Row],[Derby 5k]:[Shepshed 7]]),SUM(LARGE(F68:AB68,ROW(INDIRECT("1:10")))))+Table2[[#This Row],[Total races]]*3</f>
        <v>0</v>
      </c>
      <c r="F68" s="71" t="str">
        <f>IFERROR(VLOOKUP(B68,'Derby 5K'!$B$4:$K$15,10,FALSE),"")</f>
        <v/>
      </c>
      <c r="G68" s="71" t="str">
        <f>IFERROR(VLOOKUP(B68,'Grace Dieu XC'!$A:$C,3,FALSE),"")</f>
        <v/>
      </c>
      <c r="H68" s="71" t="str">
        <f>IFERROR(VLOOKUP(B68,'Bosworth XC'!$A:$C,3,FALSE),"")</f>
        <v/>
      </c>
      <c r="I68" s="71" t="str">
        <f>IFERROR(VLOOKUP($B68,'Kibworth 6'!$A:$C,3,FALSE),"")</f>
        <v/>
      </c>
      <c r="J68" s="71" t="str">
        <f>IFERROR(VLOOKUP($B68,'Ivanhoe 20'!$A:$C,3,FALSE),"")</f>
        <v/>
      </c>
      <c r="K68" s="71" t="str">
        <f>IFERROR(VLOOKUP($B68,'Run In Forest'!$A:$C,3,FALSE),"")</f>
        <v/>
      </c>
      <c r="L68" s="71" t="str">
        <f>IFERROR(VLOOKUP($B68,'Stilton 7'!$A:$C,3,FALSE),"")</f>
        <v/>
      </c>
      <c r="M68" s="71" t="str">
        <f>IFERROR(VLOOKUP($B68,'Uttoxeter HM'!$A:$C,3,FALSE),"")</f>
        <v/>
      </c>
      <c r="N68" s="71" t="str">
        <f>IFERROR(VLOOKUP($B68,'Bosworth HM'!$A:$C,3,FALSE),"")</f>
        <v/>
      </c>
      <c r="O68" s="71" t="str">
        <f>IFERROR(VLOOKUP($B68,'West End 8'!$A:$C,3,FALSE),"")</f>
        <v/>
      </c>
      <c r="P68" s="71" t="str">
        <f>IFERROR(VLOOKUP($B68,'Swithland 6'!$A:$C,3,FALSE),"")</f>
        <v/>
      </c>
      <c r="Q68" s="71" t="str">
        <f>IFERROR(VLOOKUP($B68,'Washlands Relays'!$A:$C,3,FALSE),"")</f>
        <v/>
      </c>
      <c r="R68" s="71" t="str">
        <f>IFERROR(VLOOKUP($B68,'Tara Kinder 10K'!$A:$C,3,FALSE),"")</f>
        <v/>
      </c>
      <c r="S68" s="71" t="str">
        <f>IFERROR(VLOOKUP($B68,'Worthington 6'!$A:$C,3,FALSE),"")</f>
        <v/>
      </c>
      <c r="T68" s="71" t="str">
        <f>IFERROR(VLOOKUP($B68,'Joy Cann 5'!$A:$C,3,FALSE),"")</f>
        <v/>
      </c>
      <c r="U68" s="71" t="str">
        <f>IFERROR(VLOOKUP($B68,'Burton 10k'!$A:$C,3,FALSE),"")</f>
        <v/>
      </c>
      <c r="V68" s="71" t="str">
        <f>IFERROR(VLOOKUP($B68,'Rotherby 8'!$A:$C,3,FALSE),"")</f>
        <v/>
      </c>
      <c r="W68" s="71" t="str">
        <f>IFERROR(VLOOKUP($B68,'Lichfield 10k'!$A:$C,3,FALSE),"")</f>
        <v/>
      </c>
      <c r="X68" s="71" t="str">
        <f>IFERROR(VLOOKUP($B68,'Adrian Smith'!$A:$C,3,FALSE),"")</f>
        <v/>
      </c>
      <c r="Y68" s="71" t="str">
        <f>IFERROR(VLOOKUP($B68,'Tamworth 5'!$A:$C,3,FALSE),"")</f>
        <v/>
      </c>
      <c r="Z68" s="72" t="str">
        <f>IFERROR(VLOOKUP($B68,'Bagworth XC'!$A:$C,3,FALSE),"")</f>
        <v/>
      </c>
      <c r="AA68" s="71" t="str">
        <f>IFERROR(VLOOKUP($B68,'Markfield 10k'!$A:$C,3,FALSE),"")</f>
        <v/>
      </c>
      <c r="AB68" s="71" t="str">
        <f>IFERROR(VLOOKUP($B68,'Shepshed 7'!$A:$C,3,FALSE),"")</f>
        <v/>
      </c>
    </row>
    <row r="69" spans="2:28" x14ac:dyDescent="0.25">
      <c r="B69" s="70" t="s">
        <v>59</v>
      </c>
      <c r="C69" s="81">
        <f>IF(Table2[[#This Row],[Total races]]=0,0,(RANK(E69,$E$3:$E$69)+COUNTIF(E$67:$E69,E69)-1))</f>
        <v>0</v>
      </c>
      <c r="D69" s="71">
        <f>COUNTIF(F69:AB69,"&gt;=0")</f>
        <v>0</v>
      </c>
      <c r="E69" s="71">
        <f t="array" aca="1" ref="E69" ca="1">IF(Table2[[#This Row],[Total races]]&lt;11,SUM(Table2[[#This Row],[Derby 5k]:[Shepshed 7]]),SUM(LARGE(F69:AB69,ROW(INDIRECT("1:10")))))+Table2[[#This Row],[Total races]]*3</f>
        <v>0</v>
      </c>
      <c r="F69" s="71" t="str">
        <f>IFERROR(VLOOKUP(B69,'Derby 5K'!$B$4:$K$15,10,FALSE),"")</f>
        <v/>
      </c>
      <c r="G69" s="71" t="str">
        <f>IFERROR(VLOOKUP(B69,'Grace Dieu XC'!$A:$C,3,FALSE),"")</f>
        <v/>
      </c>
      <c r="H69" s="71" t="str">
        <f>IFERROR(VLOOKUP(B69,'Bosworth XC'!$A:$C,3,FALSE),"")</f>
        <v/>
      </c>
      <c r="I69" s="71" t="str">
        <f>IFERROR(VLOOKUP($B69,'Kibworth 6'!$A:$C,3,FALSE),"")</f>
        <v/>
      </c>
      <c r="J69" s="71" t="str">
        <f>IFERROR(VLOOKUP($B69,'Ivanhoe 20'!$A:$C,3,FALSE),"")</f>
        <v/>
      </c>
      <c r="K69" s="71" t="str">
        <f>IFERROR(VLOOKUP($B69,'Run In Forest'!$A:$C,3,FALSE),"")</f>
        <v/>
      </c>
      <c r="L69" s="71" t="str">
        <f>IFERROR(VLOOKUP($B69,'Stilton 7'!$A:$C,3,FALSE),"")</f>
        <v/>
      </c>
      <c r="M69" s="71" t="str">
        <f>IFERROR(VLOOKUP($B69,'Uttoxeter HM'!$A:$C,3,FALSE),"")</f>
        <v/>
      </c>
      <c r="N69" s="71" t="str">
        <f>IFERROR(VLOOKUP($B69,'Bosworth HM'!$A:$C,3,FALSE),"")</f>
        <v/>
      </c>
      <c r="O69" s="71" t="str">
        <f>IFERROR(VLOOKUP($B69,'West End 8'!$A:$C,3,FALSE),"")</f>
        <v/>
      </c>
      <c r="P69" s="71" t="str">
        <f>IFERROR(VLOOKUP($B69,'Swithland 6'!$A:$C,3,FALSE),"")</f>
        <v/>
      </c>
      <c r="Q69" s="71" t="str">
        <f>IFERROR(VLOOKUP($B69,'Washlands Relays'!$A:$C,3,FALSE),"")</f>
        <v/>
      </c>
      <c r="R69" s="71" t="str">
        <f>IFERROR(VLOOKUP($B69,'Tara Kinder 10K'!$A:$C,3,FALSE),"")</f>
        <v/>
      </c>
      <c r="S69" s="71" t="str">
        <f>IFERROR(VLOOKUP($B69,'Worthington 6'!$A:$C,3,FALSE),"")</f>
        <v/>
      </c>
      <c r="T69" s="71" t="str">
        <f>IFERROR(VLOOKUP($B69,'Joy Cann 5'!$A:$C,3,FALSE),"")</f>
        <v/>
      </c>
      <c r="U69" s="71" t="str">
        <f>IFERROR(VLOOKUP($B69,'Burton 10k'!$A:$C,3,FALSE),"")</f>
        <v/>
      </c>
      <c r="V69" s="71" t="str">
        <f>IFERROR(VLOOKUP($B69,'Rotherby 8'!$A:$C,3,FALSE),"")</f>
        <v/>
      </c>
      <c r="W69" s="71" t="str">
        <f>IFERROR(VLOOKUP($B69,'Lichfield 10k'!$A:$C,3,FALSE),"")</f>
        <v/>
      </c>
      <c r="X69" s="71" t="str">
        <f>IFERROR(VLOOKUP($B69,'Adrian Smith'!$A:$C,3,FALSE),"")</f>
        <v/>
      </c>
      <c r="Y69" s="71" t="str">
        <f>IFERROR(VLOOKUP($B69,'Tamworth 5'!$A:$C,3,FALSE),"")</f>
        <v/>
      </c>
      <c r="Z69" s="72" t="str">
        <f>IFERROR(VLOOKUP($B69,'Bagworth XC'!$A:$C,3,FALSE),"")</f>
        <v/>
      </c>
      <c r="AA69" s="71" t="str">
        <f>IFERROR(VLOOKUP($B69,'Markfield 10k'!$A:$C,3,FALSE),"")</f>
        <v/>
      </c>
      <c r="AB69" s="71" t="str">
        <f>IFERROR(VLOOKUP($B69,'Shepshed 7'!$A:$C,3,FALSE),"")</f>
        <v/>
      </c>
    </row>
  </sheetData>
  <phoneticPr fontId="11" type="noConversion"/>
  <hyperlinks>
    <hyperlink ref="F2" location="'Derby 5K'!A1" display="Derby 5k" xr:uid="{C1DDC596-9B38-49BF-932B-A76154A8C1F6}"/>
    <hyperlink ref="H2" location="'Bosworth XC'!A1" display="Bosworth XC" xr:uid="{7503C4E9-F144-4C08-BD4A-2041413E915A}"/>
    <hyperlink ref="I2" location="'Kibworth 6'!A1" display="Kibworth 6" xr:uid="{05AD8971-316D-42D5-8998-B2D9AD32F29E}"/>
    <hyperlink ref="J2" location="'Ivanhoe 20'!A1" display="Ivanhoe 20" xr:uid="{C47F00BE-F3DF-4519-A709-60C4948A65B2}"/>
    <hyperlink ref="K2" location="'Run In Forest'!A1" display="Run In Forest" xr:uid="{B69480E9-31D6-401C-B4B8-0D832437427A}"/>
    <hyperlink ref="M2" location="'Uttoxeter HM'!A1" display="Uttoxeter HM" xr:uid="{E1985D3D-99AA-4A2B-A373-F812CCFFAB49}"/>
    <hyperlink ref="N2" location="'Bosworth HM'!A1" display="Bosworth HM" xr:uid="{DC7F77B3-3AB4-45BB-B780-3739A7D49941}"/>
    <hyperlink ref="O2" location="'West End 8'!A1" display="West End 8" xr:uid="{FF8E4F46-39FE-48F9-BF98-E3E10E38A898}"/>
    <hyperlink ref="P2" location="'Swithland 6'!A1" display="Swithland 6" xr:uid="{2E9D09D4-2691-4642-9860-CCCE4060C830}"/>
    <hyperlink ref="Q2" location="'Washlands Relays'!A1" display="Washlands Relays" xr:uid="{63842C99-A992-438A-808B-EE8A81D94956}"/>
    <hyperlink ref="R2" location="'Desford 5'!A1" display="Desford 5" xr:uid="{C30E6029-02BC-4126-A28B-92E7413EFEAA}"/>
    <hyperlink ref="S2" location="'Worthington 6'!A1" display="Worthington 6" xr:uid="{B6E3D606-FE55-4212-A9E4-F7B9E086ADE7}"/>
    <hyperlink ref="T2" location="'Joy Cann 5'!A1" display="Joy Cann 5" xr:uid="{6CC530FF-CC62-475C-A885-ABF4094BF67B}"/>
    <hyperlink ref="U2" location="'Burton 10k'!A1" display="Burton 10k" xr:uid="{467D59B3-3C6A-4A20-A2DE-C99893566F91}"/>
    <hyperlink ref="V2" location="'Rotherby 8'!A1" display="Rotherby 8" xr:uid="{C8216433-9664-42C0-8647-CCF01AD1B838}"/>
    <hyperlink ref="W2" location="'Lichfield 10k'!A1" display="Lichfield 10k" xr:uid="{FE7409D0-1DB1-49C8-8BDE-E5647C971EA8}"/>
    <hyperlink ref="X2" location="'Adrian Smith'!A1" display="Adrian Smith" xr:uid="{3579D0EE-8833-45CA-A664-EF56C2DEFD68}"/>
    <hyperlink ref="Y2" location="'Tamworth 5'!A1" display="Tamworth 5" xr:uid="{B3CD3D39-6C5B-45F4-8B26-2B8377F0C7C1}"/>
    <hyperlink ref="Z2" location="'Ravenstone XC'!A1" display="Ravenstone XC" xr:uid="{7879F735-B7EE-4BF8-8262-F15AA1C57D31}"/>
    <hyperlink ref="G2" location="'Grace Dieu XC'!A1" display="Grace Dieu XC" xr:uid="{AA0F58B0-CDCC-452F-A1C4-F60BE90FFF14}"/>
    <hyperlink ref="L2" location="'Stilton 7'!A1" display="Stilton 7" xr:uid="{A788D3AE-A66E-4E7A-B8F0-4E98F3E627D1}"/>
    <hyperlink ref="AA2" location="'Markfield 10k'!A1" display="Markfield 10k" xr:uid="{D6FBE49E-55C9-422C-82B8-9FBE445014B3}"/>
    <hyperlink ref="AB2" location="'Shepshed 7'!A1" display="Shepshed 7" xr:uid="{17B3B170-C062-43B7-A417-315812E5B5A6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AA32"/>
  <sheetViews>
    <sheetView showGridLines="0" zoomScale="80" zoomScaleNormal="80" workbookViewId="0">
      <selection activeCell="Q7" sqref="Q7"/>
    </sheetView>
  </sheetViews>
  <sheetFormatPr defaultColWidth="9.140625" defaultRowHeight="15" x14ac:dyDescent="0.25"/>
  <cols>
    <col min="1" max="1" width="1.85546875" customWidth="1"/>
    <col min="2" max="2" width="19.42578125" customWidth="1"/>
    <col min="3" max="10" width="10.85546875" customWidth="1"/>
    <col min="11" max="11" width="3.28515625" customWidth="1"/>
    <col min="12" max="12" width="22.28515625" bestFit="1" customWidth="1"/>
    <col min="13" max="13" width="26.42578125" customWidth="1"/>
    <col min="14" max="19" width="9.140625" customWidth="1"/>
    <col min="20" max="20" width="10.140625" customWidth="1"/>
  </cols>
  <sheetData>
    <row r="2" spans="2:27" ht="21" x14ac:dyDescent="0.35">
      <c r="B2" s="83" t="s">
        <v>17</v>
      </c>
      <c r="C2" s="83"/>
      <c r="D2" s="83"/>
      <c r="E2" s="83"/>
      <c r="F2" s="83"/>
      <c r="G2" s="83"/>
      <c r="H2" s="83"/>
      <c r="I2" s="83"/>
      <c r="J2" s="10"/>
      <c r="L2" s="83" t="s">
        <v>24</v>
      </c>
      <c r="M2" s="83"/>
      <c r="N2" s="83"/>
      <c r="O2" s="83"/>
      <c r="P2" s="83"/>
      <c r="Q2" s="83"/>
      <c r="R2" s="83"/>
      <c r="S2" s="83"/>
      <c r="T2" s="10"/>
    </row>
    <row r="3" spans="2:27" s="1" customFormat="1" ht="66" customHeight="1" x14ac:dyDescent="0.25">
      <c r="B3" s="60" t="s">
        <v>18</v>
      </c>
      <c r="C3" s="61" t="s">
        <v>143</v>
      </c>
      <c r="D3" s="61" t="s">
        <v>124</v>
      </c>
      <c r="E3" s="61" t="s">
        <v>88</v>
      </c>
      <c r="F3" s="61" t="s">
        <v>89</v>
      </c>
      <c r="G3" s="61" t="s">
        <v>90</v>
      </c>
      <c r="H3" s="61" t="s">
        <v>91</v>
      </c>
      <c r="I3" s="57" t="s">
        <v>19</v>
      </c>
      <c r="J3" s="62" t="s">
        <v>20</v>
      </c>
      <c r="K3" s="63" t="s">
        <v>25</v>
      </c>
      <c r="M3" s="60" t="s">
        <v>18</v>
      </c>
      <c r="N3" s="61" t="s">
        <v>143</v>
      </c>
      <c r="O3" s="61" t="s">
        <v>124</v>
      </c>
      <c r="P3" s="61" t="s">
        <v>88</v>
      </c>
      <c r="Q3" s="61" t="s">
        <v>89</v>
      </c>
      <c r="R3" s="61" t="s">
        <v>90</v>
      </c>
      <c r="S3" s="61" t="s">
        <v>91</v>
      </c>
      <c r="T3" s="57" t="s">
        <v>19</v>
      </c>
      <c r="U3" s="62" t="s">
        <v>20</v>
      </c>
      <c r="V3" s="63" t="s">
        <v>25</v>
      </c>
    </row>
    <row r="4" spans="2:27" s="2" customFormat="1" ht="15" customHeight="1" x14ac:dyDescent="0.25">
      <c r="B4" s="58" t="s">
        <v>128</v>
      </c>
      <c r="C4" s="80">
        <v>1.3634259259259257E-2</v>
      </c>
      <c r="D4" s="8"/>
      <c r="E4" s="3"/>
      <c r="F4" s="3"/>
      <c r="G4" s="4"/>
      <c r="H4" s="4"/>
      <c r="I4" s="4">
        <f>IF(Table22[[#This Row],[Name]]="","",MIN(C4:H4))</f>
        <v>1.3634259259259257E-2</v>
      </c>
      <c r="J4" s="3">
        <f t="shared" ref="J4:J15" si="0">IFERROR(RANK(I4,$I$4:$I$15,1),"")</f>
        <v>4</v>
      </c>
      <c r="K4" s="59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>27</v>
      </c>
      <c r="M4" s="58" t="s">
        <v>93</v>
      </c>
      <c r="N4" s="80">
        <v>1.3993055555555555E-2</v>
      </c>
      <c r="O4" s="8"/>
      <c r="P4" s="8"/>
      <c r="Q4" s="4"/>
      <c r="R4" s="3"/>
      <c r="S4" s="4"/>
      <c r="T4" s="4">
        <f>IF(Table3[[#This Row],[Name]]="","",MIN(N4:S4))</f>
        <v>1.3993055555555555E-2</v>
      </c>
      <c r="U4" s="3">
        <f t="shared" ref="U4:U15" si="1">IFERROR(RANK(T4,$T$4:$T$15,1),"")</f>
        <v>1</v>
      </c>
      <c r="V4" s="59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>30</v>
      </c>
    </row>
    <row r="5" spans="2:27" x14ac:dyDescent="0.25">
      <c r="B5" s="58" t="s">
        <v>54</v>
      </c>
      <c r="C5" s="80">
        <v>1.6527777777777777E-2</v>
      </c>
      <c r="D5" s="8"/>
      <c r="E5" s="8"/>
      <c r="F5" s="8"/>
      <c r="G5" s="3"/>
      <c r="H5" s="3"/>
      <c r="I5" s="4">
        <f>IF(Table22[[#This Row],[Name]]="","",MIN(C5:H5))</f>
        <v>1.6527777777777777E-2</v>
      </c>
      <c r="J5" s="3">
        <f t="shared" si="0"/>
        <v>6</v>
      </c>
      <c r="K5" s="59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>25</v>
      </c>
      <c r="M5" s="58" t="s">
        <v>256</v>
      </c>
      <c r="N5" s="80">
        <v>1.4930555555555556E-2</v>
      </c>
      <c r="O5" s="8"/>
      <c r="P5" s="8"/>
      <c r="Q5" s="4">
        <v>1.5636574074074074E-2</v>
      </c>
      <c r="R5" s="3"/>
      <c r="S5" s="4"/>
      <c r="T5" s="4">
        <f>IF(Table3[[#This Row],[Name]]="","",MIN(N5:S5))</f>
        <v>1.4930555555555556E-2</v>
      </c>
      <c r="U5" s="3">
        <f t="shared" si="1"/>
        <v>2</v>
      </c>
      <c r="V5" s="59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>29</v>
      </c>
      <c r="AA5" s="20"/>
    </row>
    <row r="6" spans="2:27" x14ac:dyDescent="0.25">
      <c r="B6" s="58" t="s">
        <v>69</v>
      </c>
      <c r="C6" s="58"/>
      <c r="D6" s="8"/>
      <c r="E6" s="3"/>
      <c r="F6" s="4">
        <v>1.207175925925926E-2</v>
      </c>
      <c r="G6" s="4"/>
      <c r="H6" s="4"/>
      <c r="I6" s="4">
        <f>IF(Table22[[#This Row],[Name]]="","",MIN(C6:H6))</f>
        <v>1.207175925925926E-2</v>
      </c>
      <c r="J6" s="3">
        <f t="shared" si="0"/>
        <v>1</v>
      </c>
      <c r="K6" s="59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>30</v>
      </c>
      <c r="M6" s="58" t="s">
        <v>133</v>
      </c>
      <c r="N6" s="58"/>
      <c r="O6" s="8"/>
      <c r="P6" s="8"/>
      <c r="Q6" s="4">
        <v>1.7511574074074075E-2</v>
      </c>
      <c r="R6" s="3"/>
      <c r="S6" s="4"/>
      <c r="T6" s="4">
        <f>IF(Table3[[#This Row],[Name]]="","",MIN(N6:S6))</f>
        <v>1.7511574074074075E-2</v>
      </c>
      <c r="U6" s="3">
        <f t="shared" si="1"/>
        <v>3</v>
      </c>
      <c r="V6" s="59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>28</v>
      </c>
      <c r="AA6" s="20"/>
    </row>
    <row r="7" spans="2:27" x14ac:dyDescent="0.25">
      <c r="B7" s="58" t="s">
        <v>5</v>
      </c>
      <c r="C7" s="58"/>
      <c r="D7" s="8"/>
      <c r="E7" s="8"/>
      <c r="F7" s="8">
        <v>1.2962962962962963E-2</v>
      </c>
      <c r="G7" s="8"/>
      <c r="H7" s="4"/>
      <c r="I7" s="4">
        <f>IF(Table22[[#This Row],[Name]]="","",MIN(C7:H7))</f>
        <v>1.2962962962962963E-2</v>
      </c>
      <c r="J7" s="3">
        <f t="shared" si="0"/>
        <v>2</v>
      </c>
      <c r="K7" s="59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>29</v>
      </c>
      <c r="M7" s="58"/>
      <c r="N7" s="58"/>
      <c r="O7" s="8"/>
      <c r="P7" s="8"/>
      <c r="Q7" s="3"/>
      <c r="R7" s="3"/>
      <c r="S7" s="4"/>
      <c r="T7" s="4" t="str">
        <f>IF(Table3[[#This Row],[Name]]="","",MIN(N7:S7))</f>
        <v/>
      </c>
      <c r="U7" s="3" t="str">
        <f t="shared" si="1"/>
        <v/>
      </c>
      <c r="V7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7" s="20"/>
    </row>
    <row r="8" spans="2:27" x14ac:dyDescent="0.25">
      <c r="B8" s="58" t="s">
        <v>46</v>
      </c>
      <c r="C8" s="58"/>
      <c r="D8" s="8"/>
      <c r="E8" s="3"/>
      <c r="F8" s="4">
        <v>1.3472222222222222E-2</v>
      </c>
      <c r="G8" s="3"/>
      <c r="H8" s="3"/>
      <c r="I8" s="4">
        <f>IF(Table22[[#This Row],[Name]]="","",MIN(C8:H8))</f>
        <v>1.3472222222222222E-2</v>
      </c>
      <c r="J8" s="3">
        <f t="shared" si="0"/>
        <v>3</v>
      </c>
      <c r="K8" s="59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>28</v>
      </c>
      <c r="M8" s="58"/>
      <c r="N8" s="58"/>
      <c r="O8" s="8"/>
      <c r="P8" s="8"/>
      <c r="Q8" s="8"/>
      <c r="R8" s="3"/>
      <c r="S8" s="4"/>
      <c r="T8" s="4" t="str">
        <f>IF(Table3[[#This Row],[Name]]="","",MIN(N8:S8))</f>
        <v/>
      </c>
      <c r="U8" s="3" t="str">
        <f t="shared" ref="U8:U9" si="2">IFERROR(RANK(T8,$T$4:$T$15,1),"")</f>
        <v/>
      </c>
      <c r="V8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8" s="20"/>
    </row>
    <row r="9" spans="2:27" x14ac:dyDescent="0.25">
      <c r="B9" s="58" t="s">
        <v>2</v>
      </c>
      <c r="C9" s="58"/>
      <c r="D9" s="8"/>
      <c r="E9" s="8"/>
      <c r="F9" s="4">
        <v>1.5046296296296295E-2</v>
      </c>
      <c r="G9" s="8"/>
      <c r="H9" s="4"/>
      <c r="I9" s="4">
        <f>IF(Table22[[#This Row],[Name]]="","",MIN(C9:H9))</f>
        <v>1.5046296296296295E-2</v>
      </c>
      <c r="J9" s="3">
        <f t="shared" si="0"/>
        <v>5</v>
      </c>
      <c r="K9" s="59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>26</v>
      </c>
      <c r="M9" s="58"/>
      <c r="N9" s="58"/>
      <c r="O9" s="8"/>
      <c r="P9" s="8"/>
      <c r="Q9" s="8"/>
      <c r="R9" s="4"/>
      <c r="S9" s="4"/>
      <c r="T9" s="4" t="str">
        <f>IF(Table3[[#This Row],[Name]]="","",MIN(N9:S9))</f>
        <v/>
      </c>
      <c r="U9" s="3" t="str">
        <f t="shared" si="2"/>
        <v/>
      </c>
      <c r="V9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9" s="20"/>
    </row>
    <row r="10" spans="2:27" x14ac:dyDescent="0.25">
      <c r="B10" s="58"/>
      <c r="C10" s="58"/>
      <c r="D10" s="8"/>
      <c r="E10" s="8"/>
      <c r="F10" s="8"/>
      <c r="G10" s="8"/>
      <c r="H10" s="4"/>
      <c r="I10" s="4" t="str">
        <f>IF(Table22[[#This Row],[Name]]="","",MIN(C10:H10))</f>
        <v/>
      </c>
      <c r="J10" s="3" t="str">
        <f t="shared" si="0"/>
        <v/>
      </c>
      <c r="K10" s="59" t="str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/>
      </c>
      <c r="M10" s="58"/>
      <c r="N10" s="58"/>
      <c r="O10" s="8"/>
      <c r="P10" s="8"/>
      <c r="Q10" s="8"/>
      <c r="R10" s="8"/>
      <c r="S10" s="3"/>
      <c r="T10" s="4" t="str">
        <f>IF(Table3[[#This Row],[Name]]="","",MIN(N10:S10))</f>
        <v/>
      </c>
      <c r="U10" s="3" t="str">
        <f t="shared" ref="U10:U11" si="3">IFERROR(RANK(T10,$T$4:$T$15,1),"")</f>
        <v/>
      </c>
      <c r="V10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10" s="20"/>
    </row>
    <row r="11" spans="2:27" x14ac:dyDescent="0.25">
      <c r="B11" s="58"/>
      <c r="C11" s="58"/>
      <c r="D11" s="8"/>
      <c r="E11" s="3"/>
      <c r="F11" s="3"/>
      <c r="G11" s="4"/>
      <c r="H11" s="4"/>
      <c r="I11" s="4" t="str">
        <f>IF(Table22[[#This Row],[Name]]="","",MIN(C11:H11))</f>
        <v/>
      </c>
      <c r="J11" s="3" t="str">
        <f t="shared" si="0"/>
        <v/>
      </c>
      <c r="K11" s="59" t="str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/>
      </c>
      <c r="M11" s="58"/>
      <c r="N11" s="58"/>
      <c r="O11" s="8"/>
      <c r="P11" s="8"/>
      <c r="Q11" s="9"/>
      <c r="R11" s="8"/>
      <c r="S11" s="4"/>
      <c r="T11" s="4" t="str">
        <f>IF(Table3[[#This Row],[Name]]="","",MIN(N11:S11))</f>
        <v/>
      </c>
      <c r="U11" s="3" t="str">
        <f t="shared" si="3"/>
        <v/>
      </c>
      <c r="V11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11" s="20"/>
    </row>
    <row r="12" spans="2:27" x14ac:dyDescent="0.25">
      <c r="B12" s="58"/>
      <c r="C12" s="58"/>
      <c r="D12" s="8"/>
      <c r="E12" s="4"/>
      <c r="F12" s="4"/>
      <c r="G12" s="8"/>
      <c r="H12" s="4"/>
      <c r="I12" s="4" t="str">
        <f>IF(Table22[[#This Row],[Name]]="","",MIN(C12:H12))</f>
        <v/>
      </c>
      <c r="J12" s="3" t="str">
        <f t="shared" si="0"/>
        <v/>
      </c>
      <c r="K12" s="59" t="str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/>
      </c>
      <c r="M12" s="58"/>
      <c r="N12" s="58"/>
      <c r="O12" s="8"/>
      <c r="P12" s="8"/>
      <c r="Q12" s="3"/>
      <c r="R12" s="3"/>
      <c r="S12" s="8"/>
      <c r="T12" s="4" t="str">
        <f>IF(Table3[[#This Row],[Name]]="","",MIN(N12:S12))</f>
        <v/>
      </c>
      <c r="U12" s="3" t="str">
        <f t="shared" ref="U12" si="4">IFERROR(RANK(T12,$T$4:$T$15,1),"")</f>
        <v/>
      </c>
      <c r="V12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12" s="20"/>
    </row>
    <row r="13" spans="2:27" x14ac:dyDescent="0.25">
      <c r="B13" s="58"/>
      <c r="C13" s="58"/>
      <c r="D13" s="8"/>
      <c r="E13" s="4"/>
      <c r="F13" s="4"/>
      <c r="G13" s="4"/>
      <c r="H13" s="4"/>
      <c r="I13" s="4" t="str">
        <f>IF(Table22[[#This Row],[Name]]="","",MIN(C13:H13))</f>
        <v/>
      </c>
      <c r="J13" s="3" t="str">
        <f t="shared" si="0"/>
        <v/>
      </c>
      <c r="K13" s="59" t="str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/>
      </c>
      <c r="M13" s="64"/>
      <c r="N13" s="64"/>
      <c r="O13" s="65"/>
      <c r="P13" s="65"/>
      <c r="Q13" s="65"/>
      <c r="R13" s="67"/>
      <c r="S13" s="67"/>
      <c r="T13" s="4" t="str">
        <f>IF(Table3[[#This Row],[Name]]="","",MIN(N13:S13))</f>
        <v/>
      </c>
      <c r="U13" s="3" t="str">
        <f t="shared" si="1"/>
        <v/>
      </c>
      <c r="V13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13" s="20"/>
    </row>
    <row r="14" spans="2:27" x14ac:dyDescent="0.25">
      <c r="B14" s="58"/>
      <c r="C14" s="58"/>
      <c r="D14" s="8"/>
      <c r="E14" s="3"/>
      <c r="F14" s="3"/>
      <c r="G14" s="4"/>
      <c r="H14" s="4"/>
      <c r="I14" s="4" t="str">
        <f>IF(Table22[[#This Row],[Name]]="","",MIN(C14:H14))</f>
        <v/>
      </c>
      <c r="J14" s="3" t="str">
        <f t="shared" si="0"/>
        <v/>
      </c>
      <c r="K14" s="59" t="str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/>
      </c>
      <c r="M14" s="64"/>
      <c r="N14" s="64"/>
      <c r="O14" s="65"/>
      <c r="P14" s="65"/>
      <c r="Q14" s="66"/>
      <c r="R14" s="67"/>
      <c r="S14" s="68"/>
      <c r="T14" s="68" t="str">
        <f>IF(Table3[[#This Row],[Name]]="","",MIN(N14:S14))</f>
        <v/>
      </c>
      <c r="U14" s="3" t="str">
        <f t="shared" si="1"/>
        <v/>
      </c>
      <c r="V14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  <c r="AA14" s="20"/>
    </row>
    <row r="15" spans="2:27" x14ac:dyDescent="0.25">
      <c r="B15" s="64"/>
      <c r="C15" s="64"/>
      <c r="D15" s="65"/>
      <c r="E15" s="67"/>
      <c r="F15" s="68"/>
      <c r="G15" s="68"/>
      <c r="H15" s="4"/>
      <c r="I15" s="4" t="str">
        <f>IF(Table22[[#This Row],[Name]]="","",MIN(C15:H15))</f>
        <v/>
      </c>
      <c r="J15" s="3" t="str">
        <f t="shared" si="0"/>
        <v/>
      </c>
      <c r="K15" s="59" t="str">
        <f>IF(Table22[[#This Row],[Position]]=1,30,IF(Table22[[#This Row],[Position]]=2,29,IF(Table22[[#This Row],[Position]]=3,28,IF(Table22[[#This Row],[Position]]=4,27,IF(Table22[[#This Row],[Position]]=5,26,IF(Table22[[#This Row],[Position]]=6,25,IF(Table22[[#This Row],[Position]]=7,24,IF(Table22[[#This Row],[Position]]=8,23,IF(Table22[[#This Row],[Position]]=9,22,IF(Table22[[#This Row],[Position]]=10,21,IF(Table22[[#This Row],[Position]]=11,20,IF(Table22[[#This Row],[Position]]=12,19,""))))))))))))</f>
        <v/>
      </c>
      <c r="M15" s="64"/>
      <c r="N15" s="64"/>
      <c r="O15" s="8"/>
      <c r="P15" s="8"/>
      <c r="Q15" s="9"/>
      <c r="R15" s="3"/>
      <c r="S15" s="4"/>
      <c r="T15" s="4" t="str">
        <f>IF(Table3[[#This Row],[Name]]="","",MIN(N15:S15))</f>
        <v/>
      </c>
      <c r="U15" s="3" t="str">
        <f t="shared" si="1"/>
        <v/>
      </c>
      <c r="V15" s="59" t="str">
        <f>IF(Table3[[#This Row],[Position]]=1,30,IF(Table3[[#This Row],[Position]]=2,29,IF(Table3[[#This Row],[Position]]=3,28,IF(Table3[[#This Row],[Position]]=4,27,IF(Table3[[#This Row],[Position]]=5,26,IF(Table3[[#This Row],[Position]]=6,25,IF(Table3[[#This Row],[Position]]=7,24,IF(Table3[[#This Row],[Position]]=8,23,IF(Table3[[#This Row],[Position]]=9,22,IF(Table3[[#This Row],[Position]]=10,21,IF(Table3[[#This Row],[Position]]=11,20,IF(Table3[[#This Row],[Position]]=12,19,""))))))))))))</f>
        <v/>
      </c>
    </row>
    <row r="26" spans="2:3" x14ac:dyDescent="0.25">
      <c r="B26" s="20"/>
    </row>
    <row r="27" spans="2:3" x14ac:dyDescent="0.25">
      <c r="C27" s="20"/>
    </row>
    <row r="28" spans="2:3" x14ac:dyDescent="0.25">
      <c r="C28" s="20"/>
    </row>
    <row r="29" spans="2:3" x14ac:dyDescent="0.25">
      <c r="C29" s="20"/>
    </row>
    <row r="30" spans="2:3" x14ac:dyDescent="0.25">
      <c r="C30" s="20"/>
    </row>
    <row r="31" spans="2:3" x14ac:dyDescent="0.25">
      <c r="C31" s="20"/>
    </row>
    <row r="32" spans="2:3" x14ac:dyDescent="0.25">
      <c r="C32" s="20"/>
    </row>
  </sheetData>
  <mergeCells count="2">
    <mergeCell ref="L2:S2"/>
    <mergeCell ref="B2:I2"/>
  </mergeCells>
  <phoneticPr fontId="1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74E9-4073-4876-86A4-F863BCC2A29B}">
  <sheetPr>
    <tabColor rgb="FF00B0F0"/>
  </sheetPr>
  <dimension ref="A1:I50"/>
  <sheetViews>
    <sheetView topLeftCell="B1" workbookViewId="0">
      <selection activeCell="H6" sqref="H6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Table151516171824[[#This Row],[Full Name]]</f>
        <v>SIDANI, Ramzi</v>
      </c>
      <c r="B2" s="30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" s="26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30</v>
      </c>
      <c r="D2" s="7">
        <f>IF(Table151516171824[[#This Row],[Category]]="","",IF(Table151516171824[[#This Row],[Category]]="M",COUNTIF($I$2:$I2,"M"),IF(Table151516171824[[#This Row],[Category]]="F",COUNTIF($I$2:$I2,"F"),0)))</f>
        <v>1</v>
      </c>
      <c r="E2" s="34">
        <v>19</v>
      </c>
      <c r="F2" s="35">
        <v>2.4421296296296292E-2</v>
      </c>
      <c r="G2" s="36" t="s">
        <v>145</v>
      </c>
      <c r="H2" s="36" t="s">
        <v>1</v>
      </c>
      <c r="I2" s="37" t="s">
        <v>146</v>
      </c>
    </row>
    <row r="3" spans="1:9" x14ac:dyDescent="0.25">
      <c r="A3" s="26" t="str">
        <f>Table151516171824[[#This Row],[Full Name]]</f>
        <v>WIDEMAN, Karl</v>
      </c>
      <c r="B3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3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29</v>
      </c>
      <c r="D3" s="7">
        <f>IF(Table151516171824[[#This Row],[Category]]="","",IF(Table151516171824[[#This Row],[Category]]="M",COUNTIF($I$2:$I3,"M"),IF(Table151516171824[[#This Row],[Category]]="F",COUNTIF($I$2:$I3,"F"),0)))</f>
        <v>2</v>
      </c>
      <c r="E3" s="34">
        <v>26</v>
      </c>
      <c r="F3" s="35">
        <v>2.5162037037037038E-2</v>
      </c>
      <c r="G3" s="36" t="s">
        <v>147</v>
      </c>
      <c r="H3" s="36" t="s">
        <v>3</v>
      </c>
      <c r="I3" s="37" t="s">
        <v>146</v>
      </c>
    </row>
    <row r="4" spans="1:9" x14ac:dyDescent="0.25">
      <c r="A4" s="26" t="str">
        <f>Table151516171824[[#This Row],[Full Name]]</f>
        <v>CODD, Paul</v>
      </c>
      <c r="B4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4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28</v>
      </c>
      <c r="D4" s="7">
        <f>IF(Table151516171824[[#This Row],[Category]]="","",IF(Table151516171824[[#This Row],[Category]]="M",COUNTIF($I$2:$I4,"M"),IF(Table151516171824[[#This Row],[Category]]="F",COUNTIF($I$2:$I4,"F"),0)))</f>
        <v>3</v>
      </c>
      <c r="E4" s="34">
        <v>46</v>
      </c>
      <c r="F4" s="35">
        <v>2.630787037037037E-2</v>
      </c>
      <c r="G4" s="36" t="s">
        <v>148</v>
      </c>
      <c r="H4" s="36" t="s">
        <v>48</v>
      </c>
      <c r="I4" s="37" t="s">
        <v>146</v>
      </c>
    </row>
    <row r="5" spans="1:9" ht="29.25" x14ac:dyDescent="0.25">
      <c r="A5" s="26" t="str">
        <f>Table151516171824[[#This Row],[Full Name]]</f>
        <v>BLADON-COPE, Daniel</v>
      </c>
      <c r="B5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5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27</v>
      </c>
      <c r="D5" s="7">
        <f>IF(Table151516171824[[#This Row],[Category]]="","",IF(Table151516171824[[#This Row],[Category]]="M",COUNTIF($I$2:$I5,"M"),IF(Table151516171824[[#This Row],[Category]]="F",COUNTIF($I$2:$I5,"F"),0)))</f>
        <v>4</v>
      </c>
      <c r="E5" s="34">
        <v>78</v>
      </c>
      <c r="F5" s="35">
        <v>2.8356481481481483E-2</v>
      </c>
      <c r="G5" s="36" t="s">
        <v>149</v>
      </c>
      <c r="H5" s="36" t="s">
        <v>282</v>
      </c>
      <c r="I5" s="37" t="s">
        <v>146</v>
      </c>
    </row>
    <row r="6" spans="1:9" x14ac:dyDescent="0.25">
      <c r="A6" s="26" t="str">
        <f>Table151516171824[[#This Row],[Full Name]]</f>
        <v>HAMPSON, Richard</v>
      </c>
      <c r="B6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6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26</v>
      </c>
      <c r="D6" s="7">
        <f>IF(Table151516171824[[#This Row],[Category]]="","",IF(Table151516171824[[#This Row],[Category]]="M",COUNTIF($I$2:$I6,"M"),IF(Table151516171824[[#This Row],[Category]]="F",COUNTIF($I$2:$I6,"F"),0)))</f>
        <v>5</v>
      </c>
      <c r="E6" s="34">
        <v>106</v>
      </c>
      <c r="F6" s="35">
        <v>2.9629629629629627E-2</v>
      </c>
      <c r="G6" s="36" t="s">
        <v>150</v>
      </c>
      <c r="H6" s="36" t="s">
        <v>118</v>
      </c>
      <c r="I6" s="37" t="s">
        <v>146</v>
      </c>
    </row>
    <row r="7" spans="1:9" x14ac:dyDescent="0.25">
      <c r="A7" s="26" t="str">
        <f>Table151516171824[[#This Row],[Full Name]]</f>
        <v>HOUGH, Andy</v>
      </c>
      <c r="B7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7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25</v>
      </c>
      <c r="D7" s="7">
        <f>IF(Table151516171824[[#This Row],[Category]]="","",IF(Table151516171824[[#This Row],[Category]]="M",COUNTIF($I$2:$I7,"M"),IF(Table151516171824[[#This Row],[Category]]="F",COUNTIF($I$2:$I7,"F"),0)))</f>
        <v>6</v>
      </c>
      <c r="E7" s="34">
        <v>112</v>
      </c>
      <c r="F7" s="35">
        <v>3.0092592592592591E-2</v>
      </c>
      <c r="G7" s="36" t="s">
        <v>151</v>
      </c>
      <c r="H7" s="36" t="s">
        <v>107</v>
      </c>
      <c r="I7" s="37" t="s">
        <v>146</v>
      </c>
    </row>
    <row r="8" spans="1:9" x14ac:dyDescent="0.25">
      <c r="A8" s="26" t="str">
        <f>Table151516171824[[#This Row],[Full Name]]</f>
        <v>OGILVIE, James</v>
      </c>
      <c r="B8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8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24</v>
      </c>
      <c r="D8" s="7">
        <f>IF(Table151516171824[[#This Row],[Category]]="","",IF(Table151516171824[[#This Row],[Category]]="M",COUNTIF($I$2:$I8,"M"),IF(Table151516171824[[#This Row],[Category]]="F",COUNTIF($I$2:$I8,"F"),0)))</f>
        <v>7</v>
      </c>
      <c r="E8" s="34">
        <v>129</v>
      </c>
      <c r="F8" s="35">
        <v>3.1053240740740742E-2</v>
      </c>
      <c r="G8" s="36" t="s">
        <v>152</v>
      </c>
      <c r="H8" s="36" t="s">
        <v>71</v>
      </c>
      <c r="I8" s="37" t="s">
        <v>146</v>
      </c>
    </row>
    <row r="9" spans="1:9" x14ac:dyDescent="0.25">
      <c r="A9" s="26" t="str">
        <f>Table151516171824[[#This Row],[Full Name]]</f>
        <v>BRADFORD, Mark</v>
      </c>
      <c r="B9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9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23</v>
      </c>
      <c r="D9" s="7">
        <f>IF(Table151516171824[[#This Row],[Category]]="","",IF(Table151516171824[[#This Row],[Category]]="M",COUNTIF($I$2:$I9,"M"),IF(Table151516171824[[#This Row],[Category]]="F",COUNTIF($I$2:$I9,"F"),0)))</f>
        <v>8</v>
      </c>
      <c r="E9" s="34">
        <v>142</v>
      </c>
      <c r="F9" s="35">
        <v>3.1805555555555552E-2</v>
      </c>
      <c r="G9" s="36" t="s">
        <v>153</v>
      </c>
      <c r="H9" s="36" t="s">
        <v>7</v>
      </c>
      <c r="I9" s="37" t="s">
        <v>146</v>
      </c>
    </row>
    <row r="10" spans="1:9" x14ac:dyDescent="0.25">
      <c r="A10" s="26" t="str">
        <f>Table151516171824[[#This Row],[Full Name]]</f>
        <v>BOTTRILL, Andrew</v>
      </c>
      <c r="B10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0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22</v>
      </c>
      <c r="D10" s="7">
        <f>IF(Table151516171824[[#This Row],[Category]]="","",IF(Table151516171824[[#This Row],[Category]]="M",COUNTIF($I$2:$I10,"M"),IF(Table151516171824[[#This Row],[Category]]="F",COUNTIF($I$2:$I10,"F"),0)))</f>
        <v>9</v>
      </c>
      <c r="E10" s="34">
        <v>152</v>
      </c>
      <c r="F10" s="35">
        <v>3.2199074074074074E-2</v>
      </c>
      <c r="G10" s="36" t="s">
        <v>154</v>
      </c>
      <c r="H10" s="36" t="s">
        <v>30</v>
      </c>
      <c r="I10" s="37" t="s">
        <v>146</v>
      </c>
    </row>
    <row r="11" spans="1:9" x14ac:dyDescent="0.25">
      <c r="A11" s="26" t="str">
        <f>Table151516171824[[#This Row],[Full Name]]</f>
        <v>JEFFERY, Helen</v>
      </c>
      <c r="B11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1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30</v>
      </c>
      <c r="D11" s="7">
        <f>IF(Table151516171824[[#This Row],[Category]]="","",IF(Table151516171824[[#This Row],[Category]]="M",COUNTIF($I$2:$I11,"M"),IF(Table151516171824[[#This Row],[Category]]="F",COUNTIF($I$2:$I11,"F"),0)))</f>
        <v>1</v>
      </c>
      <c r="E11" s="34">
        <v>156</v>
      </c>
      <c r="F11" s="35">
        <v>3.2384259259259258E-2</v>
      </c>
      <c r="G11" s="36" t="s">
        <v>155</v>
      </c>
      <c r="H11" s="36" t="s">
        <v>65</v>
      </c>
      <c r="I11" s="37" t="s">
        <v>156</v>
      </c>
    </row>
    <row r="12" spans="1:9" x14ac:dyDescent="0.25">
      <c r="A12" s="26" t="str">
        <f>Table151516171824[[#This Row],[Full Name]]</f>
        <v>WOOD, Clare</v>
      </c>
      <c r="B12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2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29</v>
      </c>
      <c r="D12" s="7">
        <f>IF(Table151516171824[[#This Row],[Category]]="","",IF(Table151516171824[[#This Row],[Category]]="M",COUNTIF($I$2:$I12,"M"),IF(Table151516171824[[#This Row],[Category]]="F",COUNTIF($I$2:$I12,"F"),0)))</f>
        <v>2</v>
      </c>
      <c r="E12" s="34">
        <v>181</v>
      </c>
      <c r="F12" s="35">
        <v>3.3483796296296296E-2</v>
      </c>
      <c r="G12" s="36" t="s">
        <v>157</v>
      </c>
      <c r="H12" s="36" t="s">
        <v>100</v>
      </c>
      <c r="I12" s="37" t="s">
        <v>156</v>
      </c>
    </row>
    <row r="13" spans="1:9" x14ac:dyDescent="0.25">
      <c r="A13" s="26" t="str">
        <f>Table151516171824[[#This Row],[Full Name]]</f>
        <v>SMITH, Victoria</v>
      </c>
      <c r="B13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3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28</v>
      </c>
      <c r="D13" s="7">
        <f>IF(Table151516171824[[#This Row],[Category]]="","",IF(Table151516171824[[#This Row],[Category]]="M",COUNTIF($I$2:$I13,"M"),IF(Table151516171824[[#This Row],[Category]]="F",COUNTIF($I$2:$I13,"F"),0)))</f>
        <v>3</v>
      </c>
      <c r="E13" s="34">
        <v>195</v>
      </c>
      <c r="F13" s="35">
        <v>3.4351851851851849E-2</v>
      </c>
      <c r="G13" s="36" t="s">
        <v>158</v>
      </c>
      <c r="H13" s="36" t="s">
        <v>41</v>
      </c>
      <c r="I13" s="37" t="s">
        <v>156</v>
      </c>
    </row>
    <row r="14" spans="1:9" x14ac:dyDescent="0.25">
      <c r="A14" s="26" t="str">
        <f>Table151516171824[[#This Row],[Full Name]]</f>
        <v>FLANAGAN, Mark</v>
      </c>
      <c r="B14" s="28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4" s="28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21</v>
      </c>
      <c r="D14" s="7">
        <f>IF(Table151516171824[[#This Row],[Category]]="","",IF(Table151516171824[[#This Row],[Category]]="M",COUNTIF($I$2:$I14,"M"),IF(Table151516171824[[#This Row],[Category]]="F",COUNTIF($I$2:$I14,"F"),0)))</f>
        <v>10</v>
      </c>
      <c r="E14" s="34">
        <v>218</v>
      </c>
      <c r="F14" s="35">
        <v>3.5451388888888886E-2</v>
      </c>
      <c r="G14" s="36" t="s">
        <v>159</v>
      </c>
      <c r="H14" s="36" t="s">
        <v>160</v>
      </c>
      <c r="I14" s="37" t="s">
        <v>146</v>
      </c>
    </row>
    <row r="15" spans="1:9" x14ac:dyDescent="0.25">
      <c r="A15" s="27" t="str">
        <f>Table151516171824[[#This Row],[Full Name]]</f>
        <v>BALL, Tom</v>
      </c>
      <c r="B15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5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20</v>
      </c>
      <c r="D15" s="7">
        <f>IF(Table151516171824[[#This Row],[Category]]="","",IF(Table151516171824[[#This Row],[Category]]="M",COUNTIF($I$2:$I15,"M"),IF(Table151516171824[[#This Row],[Category]]="F",COUNTIF($I$2:$I15,"F"),0)))</f>
        <v>11</v>
      </c>
      <c r="E15" s="38">
        <v>224</v>
      </c>
      <c r="F15" s="39">
        <v>3.5752314814814813E-2</v>
      </c>
      <c r="G15" s="40" t="s">
        <v>161</v>
      </c>
      <c r="H15" s="40" t="s">
        <v>114</v>
      </c>
      <c r="I15" s="41" t="s">
        <v>146</v>
      </c>
    </row>
    <row r="16" spans="1:9" x14ac:dyDescent="0.25">
      <c r="A16" s="27" t="str">
        <f>Table151516171824[[#This Row],[Full Name]]</f>
        <v>YEOMANS, Martin</v>
      </c>
      <c r="B16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6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19</v>
      </c>
      <c r="D16" s="7">
        <f>IF(Table151516171824[[#This Row],[Category]]="","",IF(Table151516171824[[#This Row],[Category]]="M",COUNTIF($I$2:$I16,"M"),IF(Table151516171824[[#This Row],[Category]]="F",COUNTIF($I$2:$I16,"F"),0)))</f>
        <v>12</v>
      </c>
      <c r="E16" s="34">
        <v>227</v>
      </c>
      <c r="F16" s="35">
        <v>3.5949074074074071E-2</v>
      </c>
      <c r="G16" s="36" t="s">
        <v>162</v>
      </c>
      <c r="H16" s="36" t="s">
        <v>10</v>
      </c>
      <c r="I16" s="37" t="s">
        <v>146</v>
      </c>
    </row>
    <row r="17" spans="1:9" x14ac:dyDescent="0.25">
      <c r="A17" s="27" t="str">
        <f>Table151516171824[[#This Row],[Full Name]]</f>
        <v>BROWN, Geoffrey</v>
      </c>
      <c r="B17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7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18</v>
      </c>
      <c r="D17" s="7">
        <f>IF(Table151516171824[[#This Row],[Category]]="","",IF(Table151516171824[[#This Row],[Category]]="M",COUNTIF($I$2:$I17,"M"),IF(Table151516171824[[#This Row],[Category]]="F",COUNTIF($I$2:$I17,"F"),0)))</f>
        <v>13</v>
      </c>
      <c r="E17" s="34">
        <v>236</v>
      </c>
      <c r="F17" s="35">
        <v>3.6446759259259262E-2</v>
      </c>
      <c r="G17" s="36" t="s">
        <v>163</v>
      </c>
      <c r="H17" s="36" t="s">
        <v>120</v>
      </c>
      <c r="I17" s="37" t="s">
        <v>146</v>
      </c>
    </row>
    <row r="18" spans="1:9" x14ac:dyDescent="0.25">
      <c r="A18" s="27" t="str">
        <f>Table151516171824[[#This Row],[Full Name]]</f>
        <v>WHITWORTH, Paula</v>
      </c>
      <c r="B18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8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27</v>
      </c>
      <c r="D18" s="7">
        <f>IF(Table151516171824[[#This Row],[Category]]="","",IF(Table151516171824[[#This Row],[Category]]="M",COUNTIF($I$2:$I18,"M"),IF(Table151516171824[[#This Row],[Category]]="F",COUNTIF($I$2:$I18,"F"),0)))</f>
        <v>4</v>
      </c>
      <c r="E18" s="34">
        <v>243</v>
      </c>
      <c r="F18" s="35">
        <v>3.6782407407407409E-2</v>
      </c>
      <c r="G18" s="36" t="s">
        <v>164</v>
      </c>
      <c r="H18" s="36" t="s">
        <v>135</v>
      </c>
      <c r="I18" s="37" t="s">
        <v>156</v>
      </c>
    </row>
    <row r="19" spans="1:9" x14ac:dyDescent="0.25">
      <c r="A19" s="27" t="str">
        <f>Table151516171824[[#This Row],[Full Name]]</f>
        <v>TILBURY, Lindsay</v>
      </c>
      <c r="B19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19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26</v>
      </c>
      <c r="D19" s="7">
        <f>IF(Table151516171824[[#This Row],[Category]]="","",IF(Table151516171824[[#This Row],[Category]]="M",COUNTIF($I$2:$I19,"M"),IF(Table151516171824[[#This Row],[Category]]="F",COUNTIF($I$2:$I19,"F"),0)))</f>
        <v>5</v>
      </c>
      <c r="E19" s="34">
        <v>246</v>
      </c>
      <c r="F19" s="35">
        <v>3.6979166666666667E-2</v>
      </c>
      <c r="G19" s="36" t="s">
        <v>165</v>
      </c>
      <c r="H19" s="36" t="s">
        <v>75</v>
      </c>
      <c r="I19" s="37" t="s">
        <v>156</v>
      </c>
    </row>
    <row r="20" spans="1:9" x14ac:dyDescent="0.25">
      <c r="A20" s="27" t="str">
        <f>Table151516171824[[#This Row],[Full Name]]</f>
        <v>OSBORNE, Carolyn</v>
      </c>
      <c r="B20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0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25</v>
      </c>
      <c r="D20" s="7">
        <f>IF(Table151516171824[[#This Row],[Category]]="","",IF(Table151516171824[[#This Row],[Category]]="M",COUNTIF($I$2:$I20,"M"),IF(Table151516171824[[#This Row],[Category]]="F",COUNTIF($I$2:$I20,"F"),0)))</f>
        <v>6</v>
      </c>
      <c r="E20" s="34">
        <v>254</v>
      </c>
      <c r="F20" s="35">
        <v>3.740740740740741E-2</v>
      </c>
      <c r="G20" s="36" t="s">
        <v>166</v>
      </c>
      <c r="H20" s="36" t="s">
        <v>12</v>
      </c>
      <c r="I20" s="37" t="s">
        <v>156</v>
      </c>
    </row>
    <row r="21" spans="1:9" x14ac:dyDescent="0.25">
      <c r="A21" s="27" t="str">
        <f>Table151516171824[[#This Row],[Full Name]]</f>
        <v>MUMMERY, Ismay</v>
      </c>
      <c r="B21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1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24</v>
      </c>
      <c r="D21" s="7">
        <f>IF(Table151516171824[[#This Row],[Category]]="","",IF(Table151516171824[[#This Row],[Category]]="M",COUNTIF($I$2:$I21,"M"),IF(Table151516171824[[#This Row],[Category]]="F",COUNTIF($I$2:$I21,"F"),0)))</f>
        <v>7</v>
      </c>
      <c r="E21" s="34">
        <v>262</v>
      </c>
      <c r="F21" s="35">
        <v>3.8078703703703705E-2</v>
      </c>
      <c r="G21" s="36" t="s">
        <v>167</v>
      </c>
      <c r="H21" s="36" t="s">
        <v>168</v>
      </c>
      <c r="I21" s="37" t="s">
        <v>156</v>
      </c>
    </row>
    <row r="22" spans="1:9" x14ac:dyDescent="0.25">
      <c r="A22" s="27" t="str">
        <f>Table151516171824[[#This Row],[Full Name]]</f>
        <v>BARON, Keith</v>
      </c>
      <c r="B22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2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17</v>
      </c>
      <c r="D22" s="7">
        <f>IF(Table151516171824[[#This Row],[Category]]="","",IF(Table151516171824[[#This Row],[Category]]="M",COUNTIF($I$2:$I22,"M"),IF(Table151516171824[[#This Row],[Category]]="F",COUNTIF($I$2:$I22,"F"),0)))</f>
        <v>14</v>
      </c>
      <c r="E22" s="34">
        <v>305</v>
      </c>
      <c r="F22" s="35">
        <v>4.1527777777777775E-2</v>
      </c>
      <c r="G22" s="36" t="s">
        <v>169</v>
      </c>
      <c r="H22" s="36" t="s">
        <v>42</v>
      </c>
      <c r="I22" s="37" t="s">
        <v>146</v>
      </c>
    </row>
    <row r="23" spans="1:9" x14ac:dyDescent="0.25">
      <c r="A23" s="27" t="str">
        <f>Table151516171824[[#This Row],[Full Name]]</f>
        <v>TOWLE, Grania</v>
      </c>
      <c r="B23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>OK</v>
      </c>
      <c r="C23" s="29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>23</v>
      </c>
      <c r="D23" s="7">
        <f>IF(Table151516171824[[#This Row],[Category]]="","",IF(Table151516171824[[#This Row],[Category]]="M",COUNTIF($I$2:$I23,"M"),IF(Table151516171824[[#This Row],[Category]]="F",COUNTIF($I$2:$I23,"F"),0)))</f>
        <v>8</v>
      </c>
      <c r="E23" s="34">
        <v>357</v>
      </c>
      <c r="F23" s="35">
        <v>5.2893518518518513E-2</v>
      </c>
      <c r="G23" s="36" t="s">
        <v>170</v>
      </c>
      <c r="H23" s="36" t="s">
        <v>15</v>
      </c>
      <c r="I23" s="37" t="s">
        <v>156</v>
      </c>
    </row>
    <row r="24" spans="1:9" x14ac:dyDescent="0.25">
      <c r="A24" s="27">
        <f>Table151516171824[[#This Row],[Full Name]]</f>
        <v>0</v>
      </c>
      <c r="B24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24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24" s="7" t="str">
        <f>IF(Table151516171824[[#This Row],[Category]]="","",IF(Table151516171824[[#This Row],[Category]]="M",COUNTIF($I$2:$I24,"M"),IF(Table151516171824[[#This Row],[Category]]="F",COUNTIF($I$2:$I24,"F"),0)))</f>
        <v/>
      </c>
      <c r="E24" s="34"/>
      <c r="F24" s="35"/>
      <c r="G24" s="36"/>
      <c r="H24" s="36"/>
      <c r="I24" s="37"/>
    </row>
    <row r="25" spans="1:9" x14ac:dyDescent="0.25">
      <c r="A25" s="27">
        <f>Table151516171824[[#This Row],[Full Name]]</f>
        <v>0</v>
      </c>
      <c r="B25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25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25" s="7" t="str">
        <f>IF(Table151516171824[[#This Row],[Category]]="","",IF(Table151516171824[[#This Row],[Category]]="M",COUNTIF($I$2:$I25,"M"),IF(Table151516171824[[#This Row],[Category]]="F",COUNTIF($I$2:$I25,"F"),0)))</f>
        <v/>
      </c>
      <c r="E25" s="34"/>
      <c r="F25" s="35"/>
      <c r="G25" s="36"/>
      <c r="H25" s="36"/>
      <c r="I25" s="37"/>
    </row>
    <row r="26" spans="1:9" x14ac:dyDescent="0.25">
      <c r="A26" s="27">
        <f>Table151516171824[[#This Row],[Full Name]]</f>
        <v>0</v>
      </c>
      <c r="B26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26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26" s="7" t="str">
        <f>IF(Table151516171824[[#This Row],[Category]]="","",IF(Table151516171824[[#This Row],[Category]]="M",COUNTIF($I$2:$I26,"M"),IF(Table151516171824[[#This Row],[Category]]="F",COUNTIF($I$2:$I26,"F"),0)))</f>
        <v/>
      </c>
      <c r="E26" s="34"/>
      <c r="F26" s="35"/>
      <c r="G26" s="36"/>
      <c r="H26" s="36"/>
      <c r="I26" s="37"/>
    </row>
    <row r="27" spans="1:9" x14ac:dyDescent="0.25">
      <c r="A27" s="27">
        <f>Table151516171824[[#This Row],[Full Name]]</f>
        <v>0</v>
      </c>
      <c r="B27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27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27" s="7" t="str">
        <f>IF(Table151516171824[[#This Row],[Category]]="","",IF(Table151516171824[[#This Row],[Category]]="M",COUNTIF($I$2:$I27,"M"),IF(Table151516171824[[#This Row],[Category]]="F",COUNTIF($I$2:$I27,"F"),0)))</f>
        <v/>
      </c>
      <c r="E27" s="34"/>
      <c r="F27" s="35"/>
      <c r="G27" s="36"/>
      <c r="H27" s="36"/>
      <c r="I27" s="37"/>
    </row>
    <row r="28" spans="1:9" x14ac:dyDescent="0.25">
      <c r="A28" s="27">
        <f>Table151516171824[[#This Row],[Full Name]]</f>
        <v>0</v>
      </c>
      <c r="B28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28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28" s="7" t="str">
        <f>IF(Table151516171824[[#This Row],[Category]]="","",IF(Table151516171824[[#This Row],[Category]]="M",COUNTIF($I$2:$I28,"M"),IF(Table151516171824[[#This Row],[Category]]="F",COUNTIF($I$2:$I28,"F"),0)))</f>
        <v/>
      </c>
      <c r="E28" s="34"/>
      <c r="F28" s="35"/>
      <c r="G28" s="36"/>
      <c r="H28" s="36"/>
      <c r="I28" s="37"/>
    </row>
    <row r="29" spans="1:9" x14ac:dyDescent="0.25">
      <c r="A29" s="27">
        <f>Table151516171824[[#This Row],[Full Name]]</f>
        <v>0</v>
      </c>
      <c r="B29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29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29" s="7" t="str">
        <f>IF(Table151516171824[[#This Row],[Category]]="","",IF(Table151516171824[[#This Row],[Category]]="M",COUNTIF($I$2:$I29,"M"),IF(Table151516171824[[#This Row],[Category]]="F",COUNTIF($I$2:$I29,"F"),0)))</f>
        <v/>
      </c>
      <c r="E29" s="34"/>
      <c r="F29" s="35"/>
      <c r="G29" s="36"/>
      <c r="H29" s="36"/>
      <c r="I29" s="37"/>
    </row>
    <row r="30" spans="1:9" x14ac:dyDescent="0.25">
      <c r="A30" s="27">
        <f>Table151516171824[[#This Row],[Full Name]]</f>
        <v>0</v>
      </c>
      <c r="B30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0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0" s="7" t="str">
        <f>IF(Table151516171824[[#This Row],[Category]]="","",IF(Table151516171824[[#This Row],[Category]]="M",COUNTIF($I$2:$I30,"M"),IF(Table151516171824[[#This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Table151516171824[[#This Row],[Full Name]]</f>
        <v>0</v>
      </c>
      <c r="B31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1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1" s="7" t="str">
        <f>IF(Table151516171824[[#This Row],[Category]]="","",IF(Table151516171824[[#This Row],[Category]]="M",COUNTIF($I$2:$I31,"M"),IF(Table151516171824[[#This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Table151516171824[[#This Row],[Full Name]]</f>
        <v>0</v>
      </c>
      <c r="B32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2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2" s="7" t="str">
        <f>IF(Table151516171824[[#This Row],[Category]]="","",IF(Table151516171824[[#This Row],[Category]]="M",COUNTIF($I$2:$I32,"M"),IF(Table151516171824[[#This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Table151516171824[[#This Row],[Full Name]]</f>
        <v>0</v>
      </c>
      <c r="B33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3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3" s="7" t="str">
        <f>IF(Table151516171824[[#This Row],[Category]]="","",IF(Table151516171824[[#This Row],[Category]]="M",COUNTIF($I$2:$I33,"M"),IF(Table151516171824[[#This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Table151516171824[[#This Row],[Full Name]]</f>
        <v>0</v>
      </c>
      <c r="B34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4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4" s="7" t="str">
        <f>IF(Table151516171824[[#This Row],[Category]]="","",IF(Table151516171824[[#This Row],[Category]]="M",COUNTIF($I$2:$I34,"M"),IF(Table151516171824[[#This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Table151516171824[[#This Row],[Full Name]]</f>
        <v>0</v>
      </c>
      <c r="B35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5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5" s="7" t="str">
        <f>IF(Table151516171824[[#This Row],[Category]]="","",IF(Table151516171824[[#This Row],[Category]]="M",COUNTIF($I$2:$I35,"M"),IF(Table151516171824[[#This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Table151516171824[[#This Row],[Full Name]]</f>
        <v>0</v>
      </c>
      <c r="B36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6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6" s="7" t="str">
        <f>IF(Table151516171824[[#This Row],[Category]]="","",IF(Table151516171824[[#This Row],[Category]]="M",COUNTIF($I$2:$I36,"M"),IF(Table151516171824[[#This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Table151516171824[[#This Row],[Full Name]]</f>
        <v>0</v>
      </c>
      <c r="B37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7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7" s="7" t="str">
        <f>IF(Table151516171824[[#This Row],[Category]]="","",IF(Table151516171824[[#This Row],[Category]]="M",COUNTIF($I$2:$I37,"M"),IF(Table151516171824[[#This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Table151516171824[[#This Row],[Full Name]]</f>
        <v>0</v>
      </c>
      <c r="B38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8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8" s="7" t="str">
        <f>IF(Table151516171824[[#This Row],[Category]]="","",IF(Table151516171824[[#This Row],[Category]]="M",COUNTIF($I$2:$I38,"M"),IF(Table151516171824[[#This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Table151516171824[[#This Row],[Full Name]]</f>
        <v>0</v>
      </c>
      <c r="B39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39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39" s="7" t="str">
        <f>IF(Table151516171824[[#This Row],[Category]]="","",IF(Table151516171824[[#This Row],[Category]]="M",COUNTIF($I$2:$I39,"M"),IF(Table151516171824[[#This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Table151516171824[[#This Row],[Full Name]]</f>
        <v>0</v>
      </c>
      <c r="B40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0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0" s="7" t="str">
        <f>IF(Table151516171824[[#This Row],[Category]]="","",IF(Table151516171824[[#This Row],[Category]]="M",COUNTIF($I$2:$I40,"M"),IF(Table151516171824[[#This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Table151516171824[[#This Row],[Full Name]]</f>
        <v>0</v>
      </c>
      <c r="B41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1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1" s="7" t="str">
        <f>IF(Table151516171824[[#This Row],[Category]]="","",IF(Table151516171824[[#This Row],[Category]]="M",COUNTIF($I$2:$I41,"M"),IF(Table151516171824[[#This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Table151516171824[[#This Row],[Full Name]]</f>
        <v>0</v>
      </c>
      <c r="B42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2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2" s="7" t="str">
        <f>IF(Table151516171824[[#This Row],[Category]]="","",IF(Table151516171824[[#This Row],[Category]]="M",COUNTIF($I$2:$I42,"M"),IF(Table151516171824[[#This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Table151516171824[[#This Row],[Full Name]]</f>
        <v>0</v>
      </c>
      <c r="B43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3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3" s="7" t="str">
        <f>IF(Table151516171824[[#This Row],[Category]]="","",IF(Table151516171824[[#This Row],[Category]]="M",COUNTIF($I$2:$I43,"M"),IF(Table151516171824[[#This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Table151516171824[[#This Row],[Full Name]]</f>
        <v>0</v>
      </c>
      <c r="B44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4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4" s="7" t="str">
        <f>IF(Table151516171824[[#This Row],[Category]]="","",IF(Table151516171824[[#This Row],[Category]]="M",COUNTIF($I$2:$I44,"M"),IF(Table151516171824[[#This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Table151516171824[[#This Row],[Full Name]]</f>
        <v>0</v>
      </c>
      <c r="B45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5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5" s="7" t="str">
        <f>IF(Table151516171824[[#This Row],[Category]]="","",IF(Table151516171824[[#This Row],[Category]]="M",COUNTIF($I$2:$I45,"M"),IF(Table151516171824[[#This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Table151516171824[[#This Row],[Full Name]]</f>
        <v>0</v>
      </c>
      <c r="B46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6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6" s="7" t="str">
        <f>IF(Table151516171824[[#This Row],[Category]]="","",IF(Table151516171824[[#This Row],[Category]]="M",COUNTIF($I$2:$I46,"M"),IF(Table151516171824[[#This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Table151516171824[[#This Row],[Full Name]]</f>
        <v>0</v>
      </c>
      <c r="B47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7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7" s="7" t="str">
        <f>IF(Table151516171824[[#This Row],[Category]]="","",IF(Table151516171824[[#This Row],[Category]]="M",COUNTIF($I$2:$I47,"M"),IF(Table151516171824[[#This Row],[Category]]="F",COUNTIF($I$2:$I47,"F"),0)))</f>
        <v/>
      </c>
      <c r="E47" s="34"/>
      <c r="F47" s="35"/>
      <c r="G47" s="36"/>
      <c r="H47" s="36"/>
      <c r="I47" s="37"/>
    </row>
    <row r="48" spans="1:9" x14ac:dyDescent="0.25">
      <c r="A48" s="27">
        <f>Table151516171824[[#This Row],[Full Name]]</f>
        <v>0</v>
      </c>
      <c r="B48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8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8" s="7" t="str">
        <f>IF(Table151516171824[[#This Row],[Category]]="","",IF(Table151516171824[[#This Row],[Category]]="M",COUNTIF($I$2:$I48,"M"),IF(Table151516171824[[#This Row],[Category]]="F",COUNTIF($I$2:$I48,"F"),0)))</f>
        <v/>
      </c>
      <c r="E48" s="34"/>
      <c r="F48" s="35"/>
      <c r="G48" s="36"/>
      <c r="H48" s="36"/>
      <c r="I48" s="37"/>
    </row>
    <row r="49" spans="1:9" x14ac:dyDescent="0.25">
      <c r="A49" s="27">
        <f>Table151516171824[[#This Row],[Full Name]]</f>
        <v>0</v>
      </c>
      <c r="B49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49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49" s="7" t="str">
        <f>IF(Table151516171824[[#This Row],[Category]]="","",IF(Table151516171824[[#This Row],[Category]]="M",COUNTIF($I$2:$I49,"M"),IF(Table151516171824[[#This Row],[Category]]="F",COUNTIF($I$2:$I49,"F"),0)))</f>
        <v/>
      </c>
      <c r="E49" s="34"/>
      <c r="F49" s="35"/>
      <c r="G49" s="36"/>
      <c r="H49" s="36"/>
      <c r="I49" s="37"/>
    </row>
    <row r="50" spans="1:9" x14ac:dyDescent="0.25">
      <c r="A50" s="27">
        <f>Table151516171824[[#This Row],[Full Name]]</f>
        <v>0</v>
      </c>
      <c r="B50" s="29" t="str">
        <f>IF(Table151516171824[[#This Row],[Full Name]]="","",IF(IFERROR(IFERROR(VLOOKUP(Table151516171824[[#This Row],[Full Name]],'Mens League'!B:B,1,FALSE),VLOOKUP(Table151516171824[[#This Row],[Full Name]],'Women''s League'!B:B,1,FALSE)),"NEEDS ADDING")="NEEDS ADDING","NEEDS ADDING","OK"))</f>
        <v/>
      </c>
      <c r="C50" s="29" t="str">
        <f>IF(Table151516171824[[#This Row],[Position]]="","",IF(Table151516171824[[#This Row],[Rank]]=1,30,IF(Table151516171824[[#This Row],[Rank]]=2,29,IF(Table151516171824[[#This Row],[Rank]]=3,28,IF(Table151516171824[[#This Row],[Rank]]=4,27,IF(Table151516171824[[#This Row],[Rank]]=5,26,IF(Table151516171824[[#This Row],[Rank]]=6,25,IF(Table151516171824[[#This Row],[Rank]]=7,24,IF(Table151516171824[[#This Row],[Rank]]=8,23,IF(Table151516171824[[#This Row],[Rank]]=9,22,IF(Table151516171824[[#This Row],[Rank]]=10,21,IF(Table151516171824[[#This Row],[Rank]]=11,20,IF(Table151516171824[[#This Row],[Rank]]=12,19,IF(Table151516171824[[#This Row],[Rank]]=13,18,IF(Table151516171824[[#This Row],[Rank]]=14,17,IF(Table151516171824[[#This Row],[Rank]]=15,16,IF(Table151516171824[[#This Row],[Rank]]=16,15,IF(Table151516171824[[#This Row],[Rank]]=17,14,IF(Table151516171824[[#This Row],[Rank]]=18,13,IF(Table151516171824[[#This Row],[Rank]]=19,12,IF(Table151516171824[[#This Row],[Rank]]=20,11,IF(Table151516171824[[#This Row],[Rank]]=21,10,IF(Table151516171824[[#This Row],[Rank]]=22,9,IF(Table151516171824[[#This Row],[Rank]]=23,8,IF(Table151516171824[[#This Row],[Rank]]=24,7,IF(Table151516171824[[#This Row],[Rank]]=25,6,IF(Table151516171824[[#This Row],[Rank]]=26,5,IF(Table151516171824[[#This Row],[Rank]]=27,4,IF(Table151516171824[[#This Row],[Rank]]=28,3,IF(Table151516171824[[#This Row],[Rank]]=29,2,IF(Table151516171824[[#This Row],[Rank]]=30,1,0)))))))))))))))))))))))))))))))</f>
        <v/>
      </c>
      <c r="D50" s="7" t="str">
        <f>IF(Table151516171824[[#This Row],[Category]]="","",IF(Table151516171824[[#This Row],[Category]]="M",COUNTIF($I$2:$I50,"M"),IF(Table151516171824[[#This Row],[Category]]="F",COUNTIF($I$2:$I50,"F"),0)))</f>
        <v/>
      </c>
      <c r="E50" s="34"/>
      <c r="F50" s="35"/>
      <c r="G50" s="36"/>
      <c r="H50" s="36"/>
      <c r="I50" s="37"/>
    </row>
  </sheetData>
  <phoneticPr fontId="11" type="noConversion"/>
  <conditionalFormatting sqref="B2:B50">
    <cfRule type="containsText" dxfId="43" priority="1" operator="containsText" text="OK">
      <formula>NOT(ISERROR(SEARCH("OK",B2)))</formula>
    </cfRule>
    <cfRule type="containsText" dxfId="42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I47"/>
  <sheetViews>
    <sheetView topLeftCell="B1" workbookViewId="0">
      <selection activeCell="J11" sqref="J11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Table1[[#This Row],[Full Name]]</f>
        <v>SIDANI, Ramzi</v>
      </c>
      <c r="B2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2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30</v>
      </c>
      <c r="D2" s="7">
        <f>IF(Table1[[#This Row],[Category]]="","",IF(Table1[[#This Row],[Category]]="M",COUNTIF($I$2:$I2,"M"),IF(Table1[[#This Row],[Category]]="F",COUNTIF($I$2:$I2,"F"),0)))</f>
        <v>1</v>
      </c>
      <c r="E2" s="34">
        <v>34</v>
      </c>
      <c r="F2" s="56">
        <v>2.7696759259259258E-2</v>
      </c>
      <c r="G2" s="36" t="s">
        <v>171</v>
      </c>
      <c r="H2" s="36" t="s">
        <v>1</v>
      </c>
      <c r="I2" s="37" t="s">
        <v>146</v>
      </c>
    </row>
    <row r="3" spans="1:9" x14ac:dyDescent="0.25">
      <c r="A3" s="26" t="str">
        <f>Table1[[#This Row],[Full Name]]</f>
        <v>CODD, Paul</v>
      </c>
      <c r="B3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3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29</v>
      </c>
      <c r="D3" s="7">
        <f>IF(Table1[[#This Row],[Category]]="","",IF(Table1[[#This Row],[Category]]="M",COUNTIF($I$2:$I3,"M"),IF(Table1[[#This Row],[Category]]="F",COUNTIF($I$2:$I3,"F"),0)))</f>
        <v>2</v>
      </c>
      <c r="E3" s="34">
        <v>38</v>
      </c>
      <c r="F3" s="56">
        <v>2.795138888888889E-2</v>
      </c>
      <c r="G3" s="36" t="s">
        <v>172</v>
      </c>
      <c r="H3" s="36" t="s">
        <v>48</v>
      </c>
      <c r="I3" s="37" t="s">
        <v>146</v>
      </c>
    </row>
    <row r="4" spans="1:9" x14ac:dyDescent="0.25">
      <c r="A4" s="26" t="str">
        <f>Table1[[#This Row],[Full Name]]</f>
        <v>HOUGH, Andy</v>
      </c>
      <c r="B4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4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28</v>
      </c>
      <c r="D4" s="7">
        <f>IF(Table1[[#This Row],[Category]]="","",IF(Table1[[#This Row],[Category]]="M",COUNTIF($I$2:$I4,"M"),IF(Table1[[#This Row],[Category]]="F",COUNTIF($I$2:$I4,"F"),0)))</f>
        <v>3</v>
      </c>
      <c r="E4" s="34">
        <v>109</v>
      </c>
      <c r="F4" s="56">
        <v>3.2256944444444442E-2</v>
      </c>
      <c r="G4" s="36" t="s">
        <v>173</v>
      </c>
      <c r="H4" s="36" t="s">
        <v>107</v>
      </c>
      <c r="I4" s="37" t="s">
        <v>146</v>
      </c>
    </row>
    <row r="5" spans="1:9" x14ac:dyDescent="0.25">
      <c r="A5" s="26" t="str">
        <f>Table1[[#This Row],[Full Name]]</f>
        <v>OGILVIE, James</v>
      </c>
      <c r="B5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5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27</v>
      </c>
      <c r="D5" s="7">
        <f>IF(Table1[[#This Row],[Category]]="","",IF(Table1[[#This Row],[Category]]="M",COUNTIF($I$2:$I5,"M"),IF(Table1[[#This Row],[Category]]="F",COUNTIF($I$2:$I5,"F"),0)))</f>
        <v>4</v>
      </c>
      <c r="E5" s="34">
        <v>113</v>
      </c>
      <c r="F5" s="56">
        <v>3.2476851851851854E-2</v>
      </c>
      <c r="G5" s="36" t="s">
        <v>174</v>
      </c>
      <c r="H5" s="36" t="s">
        <v>71</v>
      </c>
      <c r="I5" s="37" t="s">
        <v>146</v>
      </c>
    </row>
    <row r="6" spans="1:9" x14ac:dyDescent="0.25">
      <c r="A6" s="26" t="str">
        <f>Table1[[#This Row],[Full Name]]</f>
        <v>BOTTRILL, Andrew</v>
      </c>
      <c r="B6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6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26</v>
      </c>
      <c r="D6" s="7">
        <f>IF(Table1[[#This Row],[Category]]="","",IF(Table1[[#This Row],[Category]]="M",COUNTIF($I$2:$I6,"M"),IF(Table1[[#This Row],[Category]]="F",COUNTIF($I$2:$I6,"F"),0)))</f>
        <v>5</v>
      </c>
      <c r="E6" s="34">
        <v>118</v>
      </c>
      <c r="F6" s="56">
        <v>3.3414351851851855E-2</v>
      </c>
      <c r="G6" s="36" t="s">
        <v>247</v>
      </c>
      <c r="H6" s="36" t="s">
        <v>30</v>
      </c>
      <c r="I6" s="37" t="s">
        <v>146</v>
      </c>
    </row>
    <row r="7" spans="1:9" x14ac:dyDescent="0.25">
      <c r="A7" s="26" t="str">
        <f>Table1[[#This Row],[Full Name]]</f>
        <v>BRADFORD, Mark</v>
      </c>
      <c r="B7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7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25</v>
      </c>
      <c r="D7" s="7">
        <f>IF(Table1[[#This Row],[Category]]="","",IF(Table1[[#This Row],[Category]]="M",COUNTIF($I$2:$I7,"M"),IF(Table1[[#This Row],[Category]]="F",COUNTIF($I$2:$I7,"F"),0)))</f>
        <v>6</v>
      </c>
      <c r="E7" s="34">
        <v>140</v>
      </c>
      <c r="F7" s="56">
        <v>3.3958333333333333E-2</v>
      </c>
      <c r="G7" s="36" t="s">
        <v>175</v>
      </c>
      <c r="H7" s="36" t="s">
        <v>7</v>
      </c>
      <c r="I7" s="37" t="s">
        <v>146</v>
      </c>
    </row>
    <row r="8" spans="1:9" x14ac:dyDescent="0.25">
      <c r="A8" s="26" t="str">
        <f>Table1[[#This Row],[Full Name]]</f>
        <v>ALLSOP, Andrew</v>
      </c>
      <c r="B8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8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24</v>
      </c>
      <c r="D8" s="7">
        <f>IF(Table1[[#This Row],[Category]]="","",IF(Table1[[#This Row],[Category]]="M",COUNTIF($I$2:$I8,"M"),IF(Table1[[#This Row],[Category]]="F",COUNTIF($I$2:$I8,"F"),0)))</f>
        <v>7</v>
      </c>
      <c r="E8" s="34">
        <v>151</v>
      </c>
      <c r="F8" s="56">
        <v>3.4733796296296297E-2</v>
      </c>
      <c r="G8" s="36" t="s">
        <v>176</v>
      </c>
      <c r="H8" s="36" t="s">
        <v>177</v>
      </c>
      <c r="I8" s="37" t="s">
        <v>146</v>
      </c>
    </row>
    <row r="9" spans="1:9" x14ac:dyDescent="0.25">
      <c r="A9" s="26" t="str">
        <f>Table1[[#This Row],[Full Name]]</f>
        <v>JEFFERY, Helen</v>
      </c>
      <c r="B9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9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30</v>
      </c>
      <c r="D9" s="7">
        <f>IF(Table1[[#This Row],[Category]]="","",IF(Table1[[#This Row],[Category]]="M",COUNTIF($I$2:$I9,"M"),IF(Table1[[#This Row],[Category]]="F",COUNTIF($I$2:$I9,"F"),0)))</f>
        <v>1</v>
      </c>
      <c r="E9" s="34">
        <v>161</v>
      </c>
      <c r="F9" s="56">
        <v>3.5219907407407408E-2</v>
      </c>
      <c r="G9" s="36" t="s">
        <v>151</v>
      </c>
      <c r="H9" s="36" t="s">
        <v>65</v>
      </c>
      <c r="I9" s="37" t="s">
        <v>156</v>
      </c>
    </row>
    <row r="10" spans="1:9" x14ac:dyDescent="0.25">
      <c r="A10" s="26" t="str">
        <f>Table1[[#This Row],[Full Name]]</f>
        <v>SMITH, Victoria</v>
      </c>
      <c r="B10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0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29</v>
      </c>
      <c r="D10" s="7">
        <f>IF(Table1[[#This Row],[Category]]="","",IF(Table1[[#This Row],[Category]]="M",COUNTIF($I$2:$I10,"M"),IF(Table1[[#This Row],[Category]]="F",COUNTIF($I$2:$I10,"F"),0)))</f>
        <v>2</v>
      </c>
      <c r="E10" s="34">
        <v>188</v>
      </c>
      <c r="F10" s="56">
        <v>3.6874999999999998E-2</v>
      </c>
      <c r="G10" s="36" t="s">
        <v>178</v>
      </c>
      <c r="H10" s="36" t="s">
        <v>41</v>
      </c>
      <c r="I10" s="37" t="s">
        <v>156</v>
      </c>
    </row>
    <row r="11" spans="1:9" x14ac:dyDescent="0.25">
      <c r="A11" s="26" t="str">
        <f>Table1[[#This Row],[Full Name]]</f>
        <v>FLANAGAN, Mark</v>
      </c>
      <c r="B11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1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23</v>
      </c>
      <c r="D11" s="7">
        <f>IF(Table1[[#This Row],[Category]]="","",IF(Table1[[#This Row],[Category]]="M",COUNTIF($I$2:$I11,"M"),IF(Table1[[#This Row],[Category]]="F",COUNTIF($I$2:$I11,"F"),0)))</f>
        <v>8</v>
      </c>
      <c r="E11" s="34">
        <v>195</v>
      </c>
      <c r="F11" s="56">
        <v>3.7152777777777778E-2</v>
      </c>
      <c r="G11" s="36" t="s">
        <v>179</v>
      </c>
      <c r="H11" s="36" t="s">
        <v>160</v>
      </c>
      <c r="I11" s="37" t="s">
        <v>146</v>
      </c>
    </row>
    <row r="12" spans="1:9" x14ac:dyDescent="0.25">
      <c r="A12" s="26" t="str">
        <f>Table1[[#This Row],[Full Name]]</f>
        <v>BALL, Tom</v>
      </c>
      <c r="B12" s="28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2" s="28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22</v>
      </c>
      <c r="D12" s="7">
        <f>IF(Table1[[#This Row],[Category]]="","",IF(Table1[[#This Row],[Category]]="M",COUNTIF($I$2:$I12,"M"),IF(Table1[[#This Row],[Category]]="F",COUNTIF($I$2:$I12,"F"),0)))</f>
        <v>9</v>
      </c>
      <c r="E12" s="34">
        <v>208</v>
      </c>
      <c r="F12" s="56">
        <v>3.8148148148148146E-2</v>
      </c>
      <c r="G12" s="36" t="s">
        <v>180</v>
      </c>
      <c r="H12" s="36" t="s">
        <v>114</v>
      </c>
      <c r="I12" s="37" t="s">
        <v>146</v>
      </c>
    </row>
    <row r="13" spans="1:9" x14ac:dyDescent="0.25">
      <c r="A13" s="27" t="str">
        <f>Table1[[#This Row],[Full Name]]</f>
        <v>YEOMANS, Martin</v>
      </c>
      <c r="B13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3" s="29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21</v>
      </c>
      <c r="D13" s="7">
        <f>IF(Table1[[#This Row],[Category]]="","",IF(Table1[[#This Row],[Category]]="M",COUNTIF($I$2:$I13,"M"),IF(Table1[[#This Row],[Category]]="F",COUNTIF($I$2:$I13,"F"),0)))</f>
        <v>10</v>
      </c>
      <c r="E13" s="34">
        <v>218</v>
      </c>
      <c r="F13" s="56">
        <v>3.888888888888889E-2</v>
      </c>
      <c r="G13" s="36" t="s">
        <v>181</v>
      </c>
      <c r="H13" s="36" t="s">
        <v>10</v>
      </c>
      <c r="I13" s="37" t="s">
        <v>146</v>
      </c>
    </row>
    <row r="14" spans="1:9" x14ac:dyDescent="0.25">
      <c r="A14" s="27" t="str">
        <f>Table1[[#This Row],[Full Name]]</f>
        <v>BARON, Tom</v>
      </c>
      <c r="B14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4" s="29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20</v>
      </c>
      <c r="D14" s="7">
        <f>IF(Table1[[#This Row],[Category]]="","",IF(Table1[[#This Row],[Category]]="M",COUNTIF($I$2:$I14,"M"),IF(Table1[[#This Row],[Category]]="F",COUNTIF($I$2:$I14,"F"),0)))</f>
        <v>11</v>
      </c>
      <c r="E14" s="34">
        <v>263</v>
      </c>
      <c r="F14" s="56">
        <v>4.1435185185185186E-2</v>
      </c>
      <c r="G14" s="36" t="s">
        <v>182</v>
      </c>
      <c r="H14" s="36" t="s">
        <v>132</v>
      </c>
      <c r="I14" s="37" t="s">
        <v>146</v>
      </c>
    </row>
    <row r="15" spans="1:9" x14ac:dyDescent="0.25">
      <c r="A15" s="27" t="str">
        <f>Table1[[#This Row],[Full Name]]</f>
        <v>BARON, Keith</v>
      </c>
      <c r="B15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5" s="29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19</v>
      </c>
      <c r="D15" s="7">
        <f>IF(Table1[[#This Row],[Category]]="","",IF(Table1[[#This Row],[Category]]="M",COUNTIF($I$2:$I15,"M"),IF(Table1[[#This Row],[Category]]="F",COUNTIF($I$2:$I15,"F"),0)))</f>
        <v>12</v>
      </c>
      <c r="E15" s="34">
        <v>287</v>
      </c>
      <c r="F15" s="56">
        <v>4.4340277777777777E-2</v>
      </c>
      <c r="G15" s="36" t="s">
        <v>183</v>
      </c>
      <c r="H15" s="36" t="s">
        <v>42</v>
      </c>
      <c r="I15" s="37" t="s">
        <v>146</v>
      </c>
    </row>
    <row r="16" spans="1:9" x14ac:dyDescent="0.25">
      <c r="A16" s="27" t="str">
        <f>Table1[[#This Row],[Full Name]]</f>
        <v>COTON, Sophie</v>
      </c>
      <c r="B16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>OK</v>
      </c>
      <c r="C16" s="29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>28</v>
      </c>
      <c r="D16" s="7">
        <f>IF(Table1[[#This Row],[Category]]="","",IF(Table1[[#This Row],[Category]]="M",COUNTIF($I$2:$I16,"M"),IF(Table1[[#This Row],[Category]]="F",COUNTIF($I$2:$I16,"F"),0)))</f>
        <v>3</v>
      </c>
      <c r="E16" s="34">
        <v>336</v>
      </c>
      <c r="F16" s="56">
        <v>6.293981481481481E-2</v>
      </c>
      <c r="G16" s="36" t="s">
        <v>184</v>
      </c>
      <c r="H16" s="36" t="s">
        <v>185</v>
      </c>
      <c r="I16" s="37" t="s">
        <v>156</v>
      </c>
    </row>
    <row r="17" spans="1:9" x14ac:dyDescent="0.25">
      <c r="A17" s="27">
        <f>Table1[[#This Row],[Full Name]]</f>
        <v>0</v>
      </c>
      <c r="B17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7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7" s="7" t="str">
        <f>IF(Table1[[#This Row],[Category]]="","",IF(Table1[[#This Row],[Category]]="M",COUNTIF($I$2:$I17,"M"),IF(Table1[[#This Row],[Category]]="F",COUNTIF($I$2:$I17,"F"),0)))</f>
        <v/>
      </c>
      <c r="E17" s="34"/>
      <c r="F17" s="56"/>
      <c r="G17" s="36"/>
      <c r="H17" s="36"/>
      <c r="I17" s="37"/>
    </row>
    <row r="18" spans="1:9" x14ac:dyDescent="0.25">
      <c r="A18" s="27">
        <f>Table1[[#This Row],[Full Name]]</f>
        <v>0</v>
      </c>
      <c r="B18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8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8" s="7" t="str">
        <f>IF(Table1[[#This Row],[Category]]="","",IF(Table1[[#This Row],[Category]]="M",COUNTIF($I$2:$I18,"M"),IF(Table1[[#This Row],[Category]]="F",COUNTIF($I$2:$I18,"F"),0)))</f>
        <v/>
      </c>
      <c r="E18" s="34"/>
      <c r="F18" s="56"/>
      <c r="G18" s="36"/>
      <c r="H18" s="36"/>
      <c r="I18" s="37"/>
    </row>
    <row r="19" spans="1:9" x14ac:dyDescent="0.25">
      <c r="A19" s="27">
        <f>Table1[[#This Row],[Full Name]]</f>
        <v>0</v>
      </c>
      <c r="B19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19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19" s="7" t="str">
        <f>IF(Table1[[#This Row],[Category]]="","",IF(Table1[[#This Row],[Category]]="M",COUNTIF($I$2:$I19,"M"),IF(Table1[[#This Row],[Category]]="F",COUNTIF($I$2:$I19,"F"),0)))</f>
        <v/>
      </c>
      <c r="E19" s="34"/>
      <c r="F19" s="56"/>
      <c r="G19" s="36"/>
      <c r="H19" s="36"/>
      <c r="I19" s="37"/>
    </row>
    <row r="20" spans="1:9" x14ac:dyDescent="0.25">
      <c r="A20" s="27">
        <f>Table1[[#This Row],[Full Name]]</f>
        <v>0</v>
      </c>
      <c r="B20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0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0" s="7" t="str">
        <f>IF(Table1[[#This Row],[Category]]="","",IF(Table1[[#This Row],[Category]]="M",COUNTIF($I$2:$I20,"M"),IF(Table1[[#This Row],[Category]]="F",COUNTIF($I$2:$I20,"F"),0)))</f>
        <v/>
      </c>
      <c r="E20" s="34"/>
      <c r="F20" s="56"/>
      <c r="G20" s="36"/>
      <c r="H20" s="36"/>
      <c r="I20" s="37"/>
    </row>
    <row r="21" spans="1:9" x14ac:dyDescent="0.25">
      <c r="A21" s="27">
        <f>Table1[[#This Row],[Full Name]]</f>
        <v>0</v>
      </c>
      <c r="B21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1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1" s="7" t="str">
        <f>IF(Table1[[#This Row],[Category]]="","",IF(Table1[[#This Row],[Category]]="M",COUNTIF($I$2:$I21,"M"),IF(Table1[[#This Row],[Category]]="F",COUNTIF($I$2:$I21,"F"),0)))</f>
        <v/>
      </c>
      <c r="E21" s="34"/>
      <c r="F21" s="56"/>
      <c r="G21" s="36"/>
      <c r="H21" s="36"/>
      <c r="I21" s="37"/>
    </row>
    <row r="22" spans="1:9" x14ac:dyDescent="0.25">
      <c r="A22" s="27">
        <f>Table1[[#This Row],[Full Name]]</f>
        <v>0</v>
      </c>
      <c r="B22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2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2" s="7" t="str">
        <f>IF(Table1[[#This Row],[Category]]="","",IF(Table1[[#This Row],[Category]]="M",COUNTIF($I$2:$I22,"M"),IF(Table1[[#This Row],[Category]]="F",COUNTIF($I$2:$I22,"F"),0)))</f>
        <v/>
      </c>
      <c r="E22" s="34"/>
      <c r="F22" s="56"/>
      <c r="G22" s="36"/>
      <c r="H22" s="36"/>
      <c r="I22" s="37"/>
    </row>
    <row r="23" spans="1:9" x14ac:dyDescent="0.25">
      <c r="A23" s="27">
        <f>Table1[[#This Row],[Full Name]]</f>
        <v>0</v>
      </c>
      <c r="B23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3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3" s="7" t="str">
        <f>IF(Table1[[#This Row],[Category]]="","",IF(Table1[[#This Row],[Category]]="M",COUNTIF($I$2:$I23,"M"),IF(Table1[[#This Row],[Category]]="F",COUNTIF($I$2:$I23,"F"),0)))</f>
        <v/>
      </c>
      <c r="E23" s="34"/>
      <c r="F23" s="56"/>
      <c r="G23" s="36"/>
      <c r="H23" s="36"/>
      <c r="I23" s="37"/>
    </row>
    <row r="24" spans="1:9" x14ac:dyDescent="0.25">
      <c r="A24" s="27">
        <f>Table1[[#This Row],[Full Name]]</f>
        <v>0</v>
      </c>
      <c r="B24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4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4" s="7" t="str">
        <f>IF(Table1[[#This Row],[Category]]="","",IF(Table1[[#This Row],[Category]]="M",COUNTIF($I$2:$I24,"M"),IF(Table1[[#This Row],[Category]]="F",COUNTIF($I$2:$I24,"F"),0)))</f>
        <v/>
      </c>
      <c r="E24" s="34"/>
      <c r="F24" s="56"/>
      <c r="G24" s="36"/>
      <c r="H24" s="36"/>
      <c r="I24" s="37"/>
    </row>
    <row r="25" spans="1:9" x14ac:dyDescent="0.25">
      <c r="A25" s="27">
        <f>Table1[[#This Row],[Full Name]]</f>
        <v>0</v>
      </c>
      <c r="B25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5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5" s="7" t="str">
        <f>IF(Table1[[#This Row],[Category]]="","",IF(Table1[[#This Row],[Category]]="M",COUNTIF($I$2:$I25,"M"),IF(Table1[[#This Row],[Category]]="F",COUNTIF($I$2:$I25,"F"),0)))</f>
        <v/>
      </c>
      <c r="E25" s="34"/>
      <c r="F25" s="56"/>
      <c r="G25" s="36"/>
      <c r="H25" s="36"/>
      <c r="I25" s="37"/>
    </row>
    <row r="26" spans="1:9" x14ac:dyDescent="0.25">
      <c r="A26" s="27">
        <f>Table1[[#This Row],[Full Name]]</f>
        <v>0</v>
      </c>
      <c r="B26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6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6" s="7" t="str">
        <f>IF(Table1[[#This Row],[Category]]="","",IF(Table1[[#This Row],[Category]]="M",COUNTIF($I$2:$I26,"M"),IF(Table1[[#This Row],[Category]]="F",COUNTIF($I$2:$I26,"F"),0)))</f>
        <v/>
      </c>
      <c r="E26" s="34"/>
      <c r="F26" s="56"/>
      <c r="G26" s="36"/>
      <c r="H26" s="36"/>
      <c r="I26" s="37"/>
    </row>
    <row r="27" spans="1:9" x14ac:dyDescent="0.25">
      <c r="A27" s="27">
        <f>Table1[[#This Row],[Full Name]]</f>
        <v>0</v>
      </c>
      <c r="B27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7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7" s="7" t="str">
        <f>IF(Table1[[#This Row],[Category]]="","",IF(Table1[[#This Row],[Category]]="M",COUNTIF($I$2:$I27,"M"),IF(Table1[[#This Row],[Category]]="F",COUNTIF($I$2:$I27,"F"),0)))</f>
        <v/>
      </c>
      <c r="E27" s="34"/>
      <c r="F27" s="56"/>
      <c r="G27" s="36"/>
      <c r="H27" s="36"/>
      <c r="I27" s="37"/>
    </row>
    <row r="28" spans="1:9" x14ac:dyDescent="0.25">
      <c r="A28" s="27">
        <f>Table1[[#This Row],[Full Name]]</f>
        <v>0</v>
      </c>
      <c r="B28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8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8" s="7" t="str">
        <f>IF(Table1[[#This Row],[Category]]="","",IF(Table1[[#This Row],[Category]]="M",COUNTIF($I$2:$I28,"M"),IF(Table1[[#This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Table1[[#This Row],[Full Name]]</f>
        <v>0</v>
      </c>
      <c r="B29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29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29" s="7" t="str">
        <f>IF(Table1[[#This Row],[Category]]="","",IF(Table1[[#This Row],[Category]]="M",COUNTIF($I$2:$I29,"M"),IF(Table1[[#This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Table1[[#This Row],[Full Name]]</f>
        <v>0</v>
      </c>
      <c r="B30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0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0" s="7" t="str">
        <f>IF(Table1[[#This Row],[Category]]="","",IF(Table1[[#This Row],[Category]]="M",COUNTIF($I$2:$I30,"M"),IF(Table1[[#This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Table1[[#This Row],[Full Name]]</f>
        <v>0</v>
      </c>
      <c r="B31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1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1" s="7" t="str">
        <f>IF(Table1[[#This Row],[Category]]="","",IF(Table1[[#This Row],[Category]]="M",COUNTIF($I$2:$I31,"M"),IF(Table1[[#This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Table1[[#This Row],[Full Name]]</f>
        <v>0</v>
      </c>
      <c r="B32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2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2" s="7" t="str">
        <f>IF(Table1[[#This Row],[Category]]="","",IF(Table1[[#This Row],[Category]]="M",COUNTIF($I$2:$I32,"M"),IF(Table1[[#This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Table1[[#This Row],[Full Name]]</f>
        <v>0</v>
      </c>
      <c r="B33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3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3" s="7" t="str">
        <f>IF(Table1[[#This Row],[Category]]="","",IF(Table1[[#This Row],[Category]]="M",COUNTIF($I$2:$I33,"M"),IF(Table1[[#This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Table1[[#This Row],[Full Name]]</f>
        <v>0</v>
      </c>
      <c r="B34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4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4" s="7" t="str">
        <f>IF(Table1[[#This Row],[Category]]="","",IF(Table1[[#This Row],[Category]]="M",COUNTIF($I$2:$I34,"M"),IF(Table1[[#This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Table1[[#This Row],[Full Name]]</f>
        <v>0</v>
      </c>
      <c r="B35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5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5" s="7" t="str">
        <f>IF(Table1[[#This Row],[Category]]="","",IF(Table1[[#This Row],[Category]]="M",COUNTIF($I$2:$I35,"M"),IF(Table1[[#This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Table1[[#This Row],[Full Name]]</f>
        <v>0</v>
      </c>
      <c r="B36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6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6" s="7" t="str">
        <f>IF(Table1[[#This Row],[Category]]="","",IF(Table1[[#This Row],[Category]]="M",COUNTIF($I$2:$I36,"M"),IF(Table1[[#This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Table1[[#This Row],[Full Name]]</f>
        <v>0</v>
      </c>
      <c r="B37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7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7" s="7" t="str">
        <f>IF(Table1[[#This Row],[Category]]="","",IF(Table1[[#This Row],[Category]]="M",COUNTIF($I$2:$I37,"M"),IF(Table1[[#This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Table1[[#This Row],[Full Name]]</f>
        <v>0</v>
      </c>
      <c r="B38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8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8" s="7" t="str">
        <f>IF(Table1[[#This Row],[Category]]="","",IF(Table1[[#This Row],[Category]]="M",COUNTIF($I$2:$I38,"M"),IF(Table1[[#This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Table1[[#This Row],[Full Name]]</f>
        <v>0</v>
      </c>
      <c r="B39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39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39" s="7" t="str">
        <f>IF(Table1[[#This Row],[Category]]="","",IF(Table1[[#This Row],[Category]]="M",COUNTIF($I$2:$I39,"M"),IF(Table1[[#This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Table1[[#This Row],[Full Name]]</f>
        <v>0</v>
      </c>
      <c r="B40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0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0" s="7" t="str">
        <f>IF(Table1[[#This Row],[Category]]="","",IF(Table1[[#This Row],[Category]]="M",COUNTIF($I$2:$I40,"M"),IF(Table1[[#This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Table1[[#This Row],[Full Name]]</f>
        <v>0</v>
      </c>
      <c r="B41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1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1" s="7" t="str">
        <f>IF(Table1[[#This Row],[Category]]="","",IF(Table1[[#This Row],[Category]]="M",COUNTIF($I$2:$I41,"M"),IF(Table1[[#This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Table1[[#This Row],[Full Name]]</f>
        <v>0</v>
      </c>
      <c r="B42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2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2" s="7" t="str">
        <f>IF(Table1[[#This Row],[Category]]="","",IF(Table1[[#This Row],[Category]]="M",COUNTIF($I$2:$I42,"M"),IF(Table1[[#This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Table1[[#This Row],[Full Name]]</f>
        <v>0</v>
      </c>
      <c r="B43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3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3" s="7" t="str">
        <f>IF(Table1[[#This Row],[Category]]="","",IF(Table1[[#This Row],[Category]]="M",COUNTIF($I$2:$I43,"M"),IF(Table1[[#This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Table1[[#This Row],[Full Name]]</f>
        <v>0</v>
      </c>
      <c r="B44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4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4" s="7" t="str">
        <f>IF(Table1[[#This Row],[Category]]="","",IF(Table1[[#This Row],[Category]]="M",COUNTIF($I$2:$I44,"M"),IF(Table1[[#This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Table1[[#This Row],[Full Name]]</f>
        <v>0</v>
      </c>
      <c r="B45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5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5" s="7" t="str">
        <f>IF(Table1[[#This Row],[Category]]="","",IF(Table1[[#This Row],[Category]]="M",COUNTIF($I$2:$I45,"M"),IF(Table1[[#This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Table1[[#This Row],[Full Name]]</f>
        <v>0</v>
      </c>
      <c r="B46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6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6" s="7" t="str">
        <f>IF(Table1[[#This Row],[Category]]="","",IF(Table1[[#This Row],[Category]]="M",COUNTIF($I$2:$I46,"M"),IF(Table1[[#This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Table1[[#This Row],[Full Name]]</f>
        <v>0</v>
      </c>
      <c r="B47" s="29" t="str">
        <f>IF(Table1[[#This Row],[Full Name]]="","",IF(IFERROR(IFERROR(VLOOKUP(Table1[[#This Row],[Full Name]],'Mens League'!B:B,1,FALSE),VLOOKUP(Table1[[#This Row],[Full Name]],'Women''s League'!B:B,1,FALSE)),"NEEDS ADDING")="NEEDS ADDING","NEEDS ADDING","OK"))</f>
        <v/>
      </c>
      <c r="C47" s="29" t="str">
        <f>IF(Table1[[#This Row],[Position]]="","",IF(Table1[[#This Row],[Rank]]=1,30,IF(Table1[[#This Row],[Rank]]=2,29,IF(Table1[[#This Row],[Rank]]=3,28,IF(Table1[[#This Row],[Rank]]=4,27,IF(Table1[[#This Row],[Rank]]=5,26,IF(Table1[[#This Row],[Rank]]=6,25,IF(Table1[[#This Row],[Rank]]=7,24,IF(Table1[[#This Row],[Rank]]=8,23,IF(Table1[[#This Row],[Rank]]=9,22,IF(Table1[[#This Row],[Rank]]=10,21,IF(Table1[[#This Row],[Rank]]=11,20,IF(Table1[[#This Row],[Rank]]=12,19,IF(Table1[[#This Row],[Rank]]=13,18,IF(Table1[[#This Row],[Rank]]=14,17,IF(Table1[[#This Row],[Rank]]=15,16,IF(Table1[[#This Row],[Rank]]=16,15,IF(Table1[[#This Row],[Rank]]=17,14,IF(Table1[[#This Row],[Rank]]=18,13,IF(Table1[[#This Row],[Rank]]=19,12,IF(Table1[[#This Row],[Rank]]=20,11,IF(Table1[[#This Row],[Rank]]=21,10,IF(Table1[[#This Row],[Rank]]=22,9,IF(Table1[[#This Row],[Rank]]=23,8,IF(Table1[[#This Row],[Rank]]=24,7,IF(Table1[[#This Row],[Rank]]=25,6,IF(Table1[[#This Row],[Rank]]=26,5,IF(Table1[[#This Row],[Rank]]=27,4,IF(Table1[[#This Row],[Rank]]=28,3,IF(Table1[[#This Row],[Rank]]=29,2,IF(Table1[[#This Row],[Rank]]=30,1,0)))))))))))))))))))))))))))))))</f>
        <v/>
      </c>
      <c r="D47" s="7" t="str">
        <f>IF(Table1[[#This Row],[Category]]="","",IF(Table1[[#This Row],[Category]]="M",COUNTIF($I$2:$I47,"M"),IF(Table1[[#This Row],[Category]]="F",COUNTIF($I$2:$I47,"F"),0)))</f>
        <v/>
      </c>
      <c r="E47" s="34"/>
      <c r="F47" s="56"/>
      <c r="G47" s="36"/>
      <c r="H47" s="36"/>
      <c r="I47" s="37"/>
    </row>
  </sheetData>
  <phoneticPr fontId="11" type="noConversion"/>
  <conditionalFormatting sqref="B2:B47">
    <cfRule type="containsText" dxfId="41" priority="1" operator="containsText" text="OK">
      <formula>NOT(ISERROR(SEARCH("OK",B2)))</formula>
    </cfRule>
    <cfRule type="containsText" dxfId="40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2FAF-55B3-4182-909C-F3E7DC9DD114}">
  <sheetPr>
    <tabColor rgb="FF00B0F0"/>
  </sheetPr>
  <dimension ref="A1:I48"/>
  <sheetViews>
    <sheetView topLeftCell="B1" workbookViewId="0">
      <selection activeCell="H13" sqref="H13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Table15[[#This Row],[Full Name]]</f>
        <v>STANLEY, Andrew</v>
      </c>
      <c r="B2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2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30</v>
      </c>
      <c r="D2" s="7">
        <f>IF(Table15[[#This Row],[Category]]="","",IF(Table15[[#This Row],[Category]]="M",COUNTIF($I$2:$I2,"M"),IF(Table15[[#This Row],[Category]]="F",COUNTIF($I$2:$I2,"F"),0)))</f>
        <v>1</v>
      </c>
      <c r="E2" s="34">
        <v>98</v>
      </c>
      <c r="F2" s="35">
        <v>2.8229166666666666E-2</v>
      </c>
      <c r="G2" s="36" t="s">
        <v>211</v>
      </c>
      <c r="H2" s="36" t="s">
        <v>6</v>
      </c>
      <c r="I2" s="37" t="s">
        <v>146</v>
      </c>
    </row>
    <row r="3" spans="1:9" x14ac:dyDescent="0.25">
      <c r="A3" s="26" t="str">
        <f>Table15[[#This Row],[Full Name]]</f>
        <v>HOUGH, Andy</v>
      </c>
      <c r="B3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3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29</v>
      </c>
      <c r="D3" s="7">
        <f>IF(Table15[[#This Row],[Category]]="","",IF(Table15[[#This Row],[Category]]="M",COUNTIF($I$2:$I3,"M"),IF(Table15[[#This Row],[Category]]="F",COUNTIF($I$2:$I3,"F"),0)))</f>
        <v>2</v>
      </c>
      <c r="E3" s="34">
        <v>150</v>
      </c>
      <c r="F3" s="35">
        <v>3.0300925925925926E-2</v>
      </c>
      <c r="G3" s="36" t="s">
        <v>212</v>
      </c>
      <c r="H3" s="36" t="s">
        <v>107</v>
      </c>
      <c r="I3" s="37" t="s">
        <v>146</v>
      </c>
    </row>
    <row r="4" spans="1:9" x14ac:dyDescent="0.25">
      <c r="A4" s="26" t="str">
        <f>Table15[[#This Row],[Full Name]]</f>
        <v>WOOD, Clare</v>
      </c>
      <c r="B4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4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30</v>
      </c>
      <c r="D4" s="7">
        <f>IF(Table15[[#This Row],[Category]]="","",IF(Table15[[#This Row],[Category]]="M",COUNTIF($I$2:$I4,"M"),IF(Table15[[#This Row],[Category]]="F",COUNTIF($I$2:$I4,"F"),0)))</f>
        <v>1</v>
      </c>
      <c r="E4" s="34">
        <v>184</v>
      </c>
      <c r="F4" s="35">
        <v>3.1539351851851853E-2</v>
      </c>
      <c r="G4" s="36" t="s">
        <v>195</v>
      </c>
      <c r="H4" s="36" t="s">
        <v>100</v>
      </c>
      <c r="I4" s="37" t="s">
        <v>156</v>
      </c>
    </row>
    <row r="5" spans="1:9" x14ac:dyDescent="0.25">
      <c r="A5" s="26" t="str">
        <f>Table15[[#This Row],[Full Name]]</f>
        <v>BRADFORD, Mark</v>
      </c>
      <c r="B5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5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28</v>
      </c>
      <c r="D5" s="7">
        <f>IF(Table15[[#This Row],[Category]]="","",IF(Table15[[#This Row],[Category]]="M",COUNTIF($I$2:$I5,"M"),IF(Table15[[#This Row],[Category]]="F",COUNTIF($I$2:$I5,"F"),0)))</f>
        <v>3</v>
      </c>
      <c r="E5" s="34">
        <v>213</v>
      </c>
      <c r="F5" s="35">
        <v>3.2581018518518516E-2</v>
      </c>
      <c r="G5" s="36" t="s">
        <v>213</v>
      </c>
      <c r="H5" s="36" t="s">
        <v>7</v>
      </c>
      <c r="I5" s="37" t="s">
        <v>146</v>
      </c>
    </row>
    <row r="6" spans="1:9" x14ac:dyDescent="0.25">
      <c r="A6" s="26" t="str">
        <f>Table15[[#This Row],[Full Name]]</f>
        <v>SMITH, Victoria</v>
      </c>
      <c r="B6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6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29</v>
      </c>
      <c r="D6" s="7">
        <f>IF(Table15[[#This Row],[Category]]="","",IF(Table15[[#This Row],[Category]]="M",COUNTIF($I$2:$I6,"M"),IF(Table15[[#This Row],[Category]]="F",COUNTIF($I$2:$I6,"F"),0)))</f>
        <v>2</v>
      </c>
      <c r="E6" s="34">
        <v>216</v>
      </c>
      <c r="F6" s="35">
        <v>3.2488425925925928E-2</v>
      </c>
      <c r="G6" s="36" t="s">
        <v>214</v>
      </c>
      <c r="H6" s="36" t="s">
        <v>41</v>
      </c>
      <c r="I6" s="37" t="s">
        <v>156</v>
      </c>
    </row>
    <row r="7" spans="1:9" x14ac:dyDescent="0.25">
      <c r="A7" s="26" t="str">
        <f>Table15[[#This Row],[Full Name]]</f>
        <v>ASHTON, Mindy</v>
      </c>
      <c r="B7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7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28</v>
      </c>
      <c r="D7" s="7">
        <f>IF(Table15[[#This Row],[Category]]="","",IF(Table15[[#This Row],[Category]]="M",COUNTIF($I$2:$I7,"M"),IF(Table15[[#This Row],[Category]]="F",COUNTIF($I$2:$I7,"F"),0)))</f>
        <v>3</v>
      </c>
      <c r="E7" s="34">
        <v>240</v>
      </c>
      <c r="F7" s="35">
        <v>3.3032407407407406E-2</v>
      </c>
      <c r="G7" s="36" t="s">
        <v>215</v>
      </c>
      <c r="H7" s="36" t="s">
        <v>52</v>
      </c>
      <c r="I7" s="37" t="s">
        <v>156</v>
      </c>
    </row>
    <row r="8" spans="1:9" x14ac:dyDescent="0.25">
      <c r="A8" s="26" t="str">
        <f>Table15[[#This Row],[Full Name]]</f>
        <v>GRAVES, Laura</v>
      </c>
      <c r="B8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8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27</v>
      </c>
      <c r="D8" s="7">
        <f>IF(Table15[[#This Row],[Category]]="","",IF(Table15[[#This Row],[Category]]="M",COUNTIF($I$2:$I8,"M"),IF(Table15[[#This Row],[Category]]="F",COUNTIF($I$2:$I8,"F"),0)))</f>
        <v>4</v>
      </c>
      <c r="E8" s="34">
        <v>274</v>
      </c>
      <c r="F8" s="35">
        <v>3.4236111111111113E-2</v>
      </c>
      <c r="G8" s="36" t="s">
        <v>216</v>
      </c>
      <c r="H8" s="36" t="s">
        <v>13</v>
      </c>
      <c r="I8" s="37" t="s">
        <v>156</v>
      </c>
    </row>
    <row r="9" spans="1:9" x14ac:dyDescent="0.25">
      <c r="A9" s="26" t="str">
        <f>Table15[[#This Row],[Full Name]]</f>
        <v>BENNION, Nancy</v>
      </c>
      <c r="B9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9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26</v>
      </c>
      <c r="D9" s="7">
        <f>IF(Table15[[#This Row],[Category]]="","",IF(Table15[[#This Row],[Category]]="M",COUNTIF($I$2:$I9,"M"),IF(Table15[[#This Row],[Category]]="F",COUNTIF($I$2:$I9,"F"),0)))</f>
        <v>5</v>
      </c>
      <c r="E9" s="34">
        <v>280</v>
      </c>
      <c r="F9" s="35">
        <v>3.453703703703704E-2</v>
      </c>
      <c r="G9" s="36" t="s">
        <v>217</v>
      </c>
      <c r="H9" s="36" t="s">
        <v>50</v>
      </c>
      <c r="I9" s="37" t="s">
        <v>156</v>
      </c>
    </row>
    <row r="10" spans="1:9" x14ac:dyDescent="0.25">
      <c r="A10" s="26" t="str">
        <f>Table15[[#This Row],[Full Name]]</f>
        <v>TILBURY, Lindsay</v>
      </c>
      <c r="B10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10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25</v>
      </c>
      <c r="D10" s="7">
        <f>IF(Table15[[#This Row],[Category]]="","",IF(Table15[[#This Row],[Category]]="M",COUNTIF($I$2:$I10,"M"),IF(Table15[[#This Row],[Category]]="F",COUNTIF($I$2:$I10,"F"),0)))</f>
        <v>6</v>
      </c>
      <c r="E10" s="34">
        <v>285</v>
      </c>
      <c r="F10" s="35">
        <v>3.4664351851851849E-2</v>
      </c>
      <c r="G10" s="36" t="s">
        <v>218</v>
      </c>
      <c r="H10" s="36" t="s">
        <v>75</v>
      </c>
      <c r="I10" s="37" t="s">
        <v>156</v>
      </c>
    </row>
    <row r="11" spans="1:9" x14ac:dyDescent="0.25">
      <c r="A11" s="26" t="str">
        <f>Table15[[#This Row],[Full Name]]</f>
        <v>OSBORNE, Carolyn</v>
      </c>
      <c r="B11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11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24</v>
      </c>
      <c r="D11" s="7">
        <f>IF(Table15[[#This Row],[Category]]="","",IF(Table15[[#This Row],[Category]]="M",COUNTIF($I$2:$I11,"M"),IF(Table15[[#This Row],[Category]]="F",COUNTIF($I$2:$I11,"F"),0)))</f>
        <v>7</v>
      </c>
      <c r="E11" s="34">
        <v>299</v>
      </c>
      <c r="F11" s="35">
        <v>3.5104166666666665E-2</v>
      </c>
      <c r="G11" s="36" t="s">
        <v>219</v>
      </c>
      <c r="H11" s="36" t="s">
        <v>12</v>
      </c>
      <c r="I11" s="37" t="s">
        <v>156</v>
      </c>
    </row>
    <row r="12" spans="1:9" x14ac:dyDescent="0.25">
      <c r="A12" s="26" t="str">
        <f>Table15[[#This Row],[Full Name]]</f>
        <v>SHAW, Gemma</v>
      </c>
      <c r="B12" s="28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12" s="28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23</v>
      </c>
      <c r="D12" s="7">
        <f>IF(Table15[[#This Row],[Category]]="","",IF(Table15[[#This Row],[Category]]="M",COUNTIF($I$2:$I12,"M"),IF(Table15[[#This Row],[Category]]="F",COUNTIF($I$2:$I12,"F"),0)))</f>
        <v>8</v>
      </c>
      <c r="E12" s="34">
        <v>360</v>
      </c>
      <c r="F12" s="35">
        <v>3.7280092592592594E-2</v>
      </c>
      <c r="G12" s="36" t="s">
        <v>220</v>
      </c>
      <c r="H12" s="36" t="s">
        <v>21</v>
      </c>
      <c r="I12" s="37" t="s">
        <v>156</v>
      </c>
    </row>
    <row r="13" spans="1:9" x14ac:dyDescent="0.25">
      <c r="A13" s="27" t="str">
        <f>Table15[[#This Row],[Full Name]]</f>
        <v>POWDRILL, Neil</v>
      </c>
      <c r="B13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13" s="29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27</v>
      </c>
      <c r="D13" s="7">
        <f>IF(Table15[[#This Row],[Category]]="","",IF(Table15[[#This Row],[Category]]="M",COUNTIF($I$2:$I13,"M"),IF(Table15[[#This Row],[Category]]="F",COUNTIF($I$2:$I13,"F"),0)))</f>
        <v>4</v>
      </c>
      <c r="E13" s="34">
        <v>389</v>
      </c>
      <c r="F13" s="35">
        <v>3.8368055555555558E-2</v>
      </c>
      <c r="G13" s="36" t="s">
        <v>221</v>
      </c>
      <c r="H13" s="36" t="s">
        <v>222</v>
      </c>
      <c r="I13" s="37" t="s">
        <v>146</v>
      </c>
    </row>
    <row r="14" spans="1:9" x14ac:dyDescent="0.25">
      <c r="A14" s="27" t="str">
        <f>Table15[[#This Row],[Full Name]]</f>
        <v>BOLTON, Ellen</v>
      </c>
      <c r="B14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14" s="29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22</v>
      </c>
      <c r="D14" s="7">
        <f>IF(Table15[[#This Row],[Category]]="","",IF(Table15[[#This Row],[Category]]="M",COUNTIF($I$2:$I14,"M"),IF(Table15[[#This Row],[Category]]="F",COUNTIF($I$2:$I14,"F"),0)))</f>
        <v>9</v>
      </c>
      <c r="E14" s="34">
        <v>464</v>
      </c>
      <c r="F14" s="35">
        <v>4.2372685185185187E-2</v>
      </c>
      <c r="G14" s="36" t="s">
        <v>181</v>
      </c>
      <c r="H14" s="36" t="s">
        <v>133</v>
      </c>
      <c r="I14" s="37" t="s">
        <v>156</v>
      </c>
    </row>
    <row r="15" spans="1:9" x14ac:dyDescent="0.25">
      <c r="A15" s="27" t="str">
        <f>Table15[[#This Row],[Full Name]]</f>
        <v>HENFREY, Julie</v>
      </c>
      <c r="B15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>OK</v>
      </c>
      <c r="C15" s="29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>21</v>
      </c>
      <c r="D15" s="7">
        <f>IF(Table15[[#This Row],[Category]]="","",IF(Table15[[#This Row],[Category]]="M",COUNTIF($I$2:$I15,"M"),IF(Table15[[#This Row],[Category]]="F",COUNTIF($I$2:$I15,"F"),0)))</f>
        <v>10</v>
      </c>
      <c r="E15" s="34">
        <v>538</v>
      </c>
      <c r="F15" s="35">
        <v>6.2291666666666669E-2</v>
      </c>
      <c r="G15" s="36" t="s">
        <v>223</v>
      </c>
      <c r="H15" s="36" t="s">
        <v>16</v>
      </c>
      <c r="I15" s="37" t="s">
        <v>156</v>
      </c>
    </row>
    <row r="16" spans="1:9" x14ac:dyDescent="0.25">
      <c r="A16" s="27">
        <f>Table15[[#This Row],[Full Name]]</f>
        <v>0</v>
      </c>
      <c r="B16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6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6" s="7" t="str">
        <f>IF(Table15[[#This Row],[Category]]="","",IF(Table15[[#This Row],[Category]]="M",COUNTIF($I$2:$I16,"M"),IF(Table15[[#This Row],[Category]]="F",COUNTIF($I$2:$I16,"F"),0)))</f>
        <v/>
      </c>
      <c r="E16" s="34"/>
      <c r="F16" s="35"/>
      <c r="G16" s="36"/>
      <c r="H16" s="36"/>
      <c r="I16" s="37"/>
    </row>
    <row r="17" spans="1:9" x14ac:dyDescent="0.25">
      <c r="A17" s="27">
        <f>Table15[[#This Row],[Full Name]]</f>
        <v>0</v>
      </c>
      <c r="B17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7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7" s="7" t="str">
        <f>IF(Table15[[#This Row],[Category]]="","",IF(Table15[[#This Row],[Category]]="M",COUNTIF($I$2:$I17,"M"),IF(Table15[[#This Row],[Category]]="F",COUNTIF($I$2:$I17,"F"),0)))</f>
        <v/>
      </c>
      <c r="E17" s="34"/>
      <c r="F17" s="35"/>
      <c r="G17" s="36"/>
      <c r="H17" s="36"/>
      <c r="I17" s="37"/>
    </row>
    <row r="18" spans="1:9" x14ac:dyDescent="0.25">
      <c r="A18" s="27">
        <f>Table15[[#This Row],[Full Name]]</f>
        <v>0</v>
      </c>
      <c r="B18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8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8" s="7" t="str">
        <f>IF(Table15[[#This Row],[Category]]="","",IF(Table15[[#This Row],[Category]]="M",COUNTIF($I$2:$I18,"M"),IF(Table15[[#This Row],[Category]]="F",COUNTIF($I$2:$I18,"F"),0)))</f>
        <v/>
      </c>
      <c r="E18" s="34"/>
      <c r="F18" s="35"/>
      <c r="G18" s="36"/>
      <c r="H18" s="36"/>
      <c r="I18" s="37"/>
    </row>
    <row r="19" spans="1:9" x14ac:dyDescent="0.25">
      <c r="A19" s="27">
        <f>Table15[[#This Row],[Full Name]]</f>
        <v>0</v>
      </c>
      <c r="B19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19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19" s="7" t="str">
        <f>IF(Table15[[#This Row],[Category]]="","",IF(Table15[[#This Row],[Category]]="M",COUNTIF($I$2:$I19,"M"),IF(Table15[[#This Row],[Category]]="F",COUNTIF($I$2:$I19,"F"),0)))</f>
        <v/>
      </c>
      <c r="E19" s="34"/>
      <c r="F19" s="35"/>
      <c r="G19" s="36"/>
      <c r="H19" s="36"/>
      <c r="I19" s="37"/>
    </row>
    <row r="20" spans="1:9" x14ac:dyDescent="0.25">
      <c r="A20" s="27">
        <f>Table15[[#This Row],[Full Name]]</f>
        <v>0</v>
      </c>
      <c r="B20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0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0" s="7" t="str">
        <f>IF(Table15[[#This Row],[Category]]="","",IF(Table15[[#This Row],[Category]]="M",COUNTIF($I$2:$I20,"M"),IF(Table15[[#This Row],[Category]]="F",COUNTIF($I$2:$I20,"F"),0)))</f>
        <v/>
      </c>
      <c r="E20" s="34"/>
      <c r="F20" s="35"/>
      <c r="G20" s="36"/>
      <c r="H20" s="36"/>
      <c r="I20" s="37"/>
    </row>
    <row r="21" spans="1:9" x14ac:dyDescent="0.25">
      <c r="A21" s="27">
        <f>Table15[[#This Row],[Full Name]]</f>
        <v>0</v>
      </c>
      <c r="B21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1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1" s="7" t="str">
        <f>IF(Table15[[#This Row],[Category]]="","",IF(Table15[[#This Row],[Category]]="M",COUNTIF($I$2:$I21,"M"),IF(Table15[[#This Row],[Category]]="F",COUNTIF($I$2:$I21,"F"),0)))</f>
        <v/>
      </c>
      <c r="E21" s="34"/>
      <c r="F21" s="35"/>
      <c r="G21" s="36"/>
      <c r="H21" s="36"/>
      <c r="I21" s="37"/>
    </row>
    <row r="22" spans="1:9" x14ac:dyDescent="0.25">
      <c r="A22" s="27">
        <f>Table15[[#This Row],[Full Name]]</f>
        <v>0</v>
      </c>
      <c r="B22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2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2" s="7" t="str">
        <f>IF(Table15[[#This Row],[Category]]="","",IF(Table15[[#This Row],[Category]]="M",COUNTIF($I$2:$I22,"M"),IF(Table15[[#This Row],[Category]]="F",COUNTIF($I$2:$I22,"F"),0)))</f>
        <v/>
      </c>
      <c r="E22" s="34"/>
      <c r="F22" s="35"/>
      <c r="G22" s="36"/>
      <c r="H22" s="36"/>
      <c r="I22" s="37"/>
    </row>
    <row r="23" spans="1:9" x14ac:dyDescent="0.25">
      <c r="A23" s="27">
        <f>Table15[[#This Row],[Full Name]]</f>
        <v>0</v>
      </c>
      <c r="B23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3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3" s="7" t="str">
        <f>IF(Table15[[#This Row],[Category]]="","",IF(Table15[[#This Row],[Category]]="M",COUNTIF($I$2:$I23,"M"),IF(Table15[[#This Row],[Category]]="F",COUNTIF($I$2:$I23,"F"),0)))</f>
        <v/>
      </c>
      <c r="E23" s="34"/>
      <c r="F23" s="35"/>
      <c r="G23" s="36"/>
      <c r="H23" s="36"/>
      <c r="I23" s="37"/>
    </row>
    <row r="24" spans="1:9" x14ac:dyDescent="0.25">
      <c r="A24" s="27">
        <f>Table15[[#This Row],[Full Name]]</f>
        <v>0</v>
      </c>
      <c r="B24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4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4" s="7" t="str">
        <f>IF(Table15[[#This Row],[Category]]="","",IF(Table15[[#This Row],[Category]]="M",COUNTIF($I$2:$I24,"M"),IF(Table15[[#This Row],[Category]]="F",COUNTIF($I$2:$I24,"F"),0)))</f>
        <v/>
      </c>
      <c r="E24" s="34"/>
      <c r="F24" s="35"/>
      <c r="G24" s="36"/>
      <c r="H24" s="36"/>
      <c r="I24" s="37"/>
    </row>
    <row r="25" spans="1:9" x14ac:dyDescent="0.25">
      <c r="A25" s="27">
        <f>Table15[[#This Row],[Full Name]]</f>
        <v>0</v>
      </c>
      <c r="B25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5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5" s="7" t="str">
        <f>IF(Table15[[#This Row],[Category]]="","",IF(Table15[[#This Row],[Category]]="M",COUNTIF($I$2:$I25,"M"),IF(Table15[[#This Row],[Category]]="F",COUNTIF($I$2:$I25,"F"),0)))</f>
        <v/>
      </c>
      <c r="E25" s="34"/>
      <c r="F25" s="35"/>
      <c r="G25" s="36"/>
      <c r="H25" s="36"/>
      <c r="I25" s="37"/>
    </row>
    <row r="26" spans="1:9" x14ac:dyDescent="0.25">
      <c r="A26" s="27">
        <f>Table15[[#This Row],[Full Name]]</f>
        <v>0</v>
      </c>
      <c r="B26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6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6" s="7" t="str">
        <f>IF(Table15[[#This Row],[Category]]="","",IF(Table15[[#This Row],[Category]]="M",COUNTIF($I$2:$I26,"M"),IF(Table15[[#This Row],[Category]]="F",COUNTIF($I$2:$I26,"F"),0)))</f>
        <v/>
      </c>
      <c r="E26" s="34"/>
      <c r="F26" s="35"/>
      <c r="G26" s="36"/>
      <c r="H26" s="36"/>
      <c r="I26" s="37"/>
    </row>
    <row r="27" spans="1:9" x14ac:dyDescent="0.25">
      <c r="A27" s="27">
        <f>Table15[[#This Row],[Full Name]]</f>
        <v>0</v>
      </c>
      <c r="B27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7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7" s="7" t="str">
        <f>IF(Table15[[#This Row],[Category]]="","",IF(Table15[[#This Row],[Category]]="M",COUNTIF($I$2:$I27,"M"),IF(Table15[[#This Row],[Category]]="F",COUNTIF($I$2:$I27,"F"),0)))</f>
        <v/>
      </c>
      <c r="E27" s="34"/>
      <c r="F27" s="35"/>
      <c r="G27" s="36"/>
      <c r="H27" s="36"/>
      <c r="I27" s="37"/>
    </row>
    <row r="28" spans="1:9" x14ac:dyDescent="0.25">
      <c r="A28" s="27">
        <f>Table15[[#This Row],[Full Name]]</f>
        <v>0</v>
      </c>
      <c r="B28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8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8" s="7" t="str">
        <f>IF(Table15[[#This Row],[Category]]="","",IF(Table15[[#This Row],[Category]]="M",COUNTIF($I$2:$I28,"M"),IF(Table15[[#This Row],[Category]]="F",COUNTIF($I$2:$I28,"F"),0)))</f>
        <v/>
      </c>
      <c r="E28" s="34"/>
      <c r="F28" s="35"/>
      <c r="G28" s="36"/>
      <c r="H28" s="36"/>
      <c r="I28" s="37"/>
    </row>
    <row r="29" spans="1:9" x14ac:dyDescent="0.25">
      <c r="A29" s="27">
        <f>Table15[[#This Row],[Full Name]]</f>
        <v>0</v>
      </c>
      <c r="B29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29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29" s="7" t="str">
        <f>IF(Table15[[#This Row],[Category]]="","",IF(Table15[[#This Row],[Category]]="M",COUNTIF($I$2:$I29,"M"),IF(Table15[[#This Row],[Category]]="F",COUNTIF($I$2:$I29,"F"),0)))</f>
        <v/>
      </c>
      <c r="E29" s="34"/>
      <c r="F29" s="35"/>
      <c r="G29" s="36"/>
      <c r="H29" s="36"/>
      <c r="I29" s="37"/>
    </row>
    <row r="30" spans="1:9" x14ac:dyDescent="0.25">
      <c r="A30" s="27">
        <f>Table15[[#This Row],[Full Name]]</f>
        <v>0</v>
      </c>
      <c r="B30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0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0" s="7" t="str">
        <f>IF(Table15[[#This Row],[Category]]="","",IF(Table15[[#This Row],[Category]]="M",COUNTIF($I$2:$I30,"M"),IF(Table15[[#This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Table15[[#This Row],[Full Name]]</f>
        <v>0</v>
      </c>
      <c r="B31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1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1" s="7" t="str">
        <f>IF(Table15[[#This Row],[Category]]="","",IF(Table15[[#This Row],[Category]]="M",COUNTIF($I$2:$I31,"M"),IF(Table15[[#This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Table15[[#This Row],[Full Name]]</f>
        <v>0</v>
      </c>
      <c r="B32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2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2" s="7" t="str">
        <f>IF(Table15[[#This Row],[Category]]="","",IF(Table15[[#This Row],[Category]]="M",COUNTIF($I$2:$I32,"M"),IF(Table15[[#This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Table15[[#This Row],[Full Name]]</f>
        <v>0</v>
      </c>
      <c r="B33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3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3" s="7" t="str">
        <f>IF(Table15[[#This Row],[Category]]="","",IF(Table15[[#This Row],[Category]]="M",COUNTIF($I$2:$I33,"M"),IF(Table15[[#This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Table15[[#This Row],[Full Name]]</f>
        <v>0</v>
      </c>
      <c r="B34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4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4" s="7" t="str">
        <f>IF(Table15[[#This Row],[Category]]="","",IF(Table15[[#This Row],[Category]]="M",COUNTIF($I$2:$I34,"M"),IF(Table15[[#This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Table15[[#This Row],[Full Name]]</f>
        <v>0</v>
      </c>
      <c r="B35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5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5" s="7" t="str">
        <f>IF(Table15[[#This Row],[Category]]="","",IF(Table15[[#This Row],[Category]]="M",COUNTIF($I$2:$I35,"M"),IF(Table15[[#This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Table15[[#This Row],[Full Name]]</f>
        <v>0</v>
      </c>
      <c r="B36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6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6" s="7" t="str">
        <f>IF(Table15[[#This Row],[Category]]="","",IF(Table15[[#This Row],[Category]]="M",COUNTIF($I$2:$I36,"M"),IF(Table15[[#This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Table15[[#This Row],[Full Name]]</f>
        <v>0</v>
      </c>
      <c r="B37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7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7" s="7" t="str">
        <f>IF(Table15[[#This Row],[Category]]="","",IF(Table15[[#This Row],[Category]]="M",COUNTIF($I$2:$I37,"M"),IF(Table15[[#This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Table15[[#This Row],[Full Name]]</f>
        <v>0</v>
      </c>
      <c r="B38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8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8" s="7" t="str">
        <f>IF(Table15[[#This Row],[Category]]="","",IF(Table15[[#This Row],[Category]]="M",COUNTIF($I$2:$I38,"M"),IF(Table15[[#This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Table15[[#This Row],[Full Name]]</f>
        <v>0</v>
      </c>
      <c r="B39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39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39" s="7" t="str">
        <f>IF(Table15[[#This Row],[Category]]="","",IF(Table15[[#This Row],[Category]]="M",COUNTIF($I$2:$I39,"M"),IF(Table15[[#This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Table15[[#This Row],[Full Name]]</f>
        <v>0</v>
      </c>
      <c r="B40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0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0" s="7" t="str">
        <f>IF(Table15[[#This Row],[Category]]="","",IF(Table15[[#This Row],[Category]]="M",COUNTIF($I$2:$I40,"M"),IF(Table15[[#This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Table15[[#This Row],[Full Name]]</f>
        <v>0</v>
      </c>
      <c r="B41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1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1" s="7" t="str">
        <f>IF(Table15[[#This Row],[Category]]="","",IF(Table15[[#This Row],[Category]]="M",COUNTIF($I$2:$I41,"M"),IF(Table15[[#This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Table15[[#This Row],[Full Name]]</f>
        <v>0</v>
      </c>
      <c r="B42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2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2" s="7" t="str">
        <f>IF(Table15[[#This Row],[Category]]="","",IF(Table15[[#This Row],[Category]]="M",COUNTIF($I$2:$I42,"M"),IF(Table15[[#This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Table15[[#This Row],[Full Name]]</f>
        <v>0</v>
      </c>
      <c r="B43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3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3" s="7" t="str">
        <f>IF(Table15[[#This Row],[Category]]="","",IF(Table15[[#This Row],[Category]]="M",COUNTIF($I$2:$I43,"M"),IF(Table15[[#This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Table15[[#This Row],[Full Name]]</f>
        <v>0</v>
      </c>
      <c r="B44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4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4" s="7" t="str">
        <f>IF(Table15[[#This Row],[Category]]="","",IF(Table15[[#This Row],[Category]]="M",COUNTIF($I$2:$I44,"M"),IF(Table15[[#This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Table15[[#This Row],[Full Name]]</f>
        <v>0</v>
      </c>
      <c r="B45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5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5" s="7" t="str">
        <f>IF(Table15[[#This Row],[Category]]="","",IF(Table15[[#This Row],[Category]]="M",COUNTIF($I$2:$I45,"M"),IF(Table15[[#This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Table15[[#This Row],[Full Name]]</f>
        <v>0</v>
      </c>
      <c r="B46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6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6" s="7" t="str">
        <f>IF(Table15[[#This Row],[Category]]="","",IF(Table15[[#This Row],[Category]]="M",COUNTIF($I$2:$I46,"M"),IF(Table15[[#This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Table15[[#This Row],[Full Name]]</f>
        <v>0</v>
      </c>
      <c r="B47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7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7" s="7" t="str">
        <f>IF(Table15[[#This Row],[Category]]="","",IF(Table15[[#This Row],[Category]]="M",COUNTIF($I$2:$I47,"M"),IF(Table15[[#This Row],[Category]]="F",COUNTIF($I$2:$I47,"F"),0)))</f>
        <v/>
      </c>
      <c r="E47" s="34"/>
      <c r="F47" s="35"/>
      <c r="G47" s="36"/>
      <c r="H47" s="36"/>
      <c r="I47" s="37"/>
    </row>
    <row r="48" spans="1:9" x14ac:dyDescent="0.25">
      <c r="A48" s="27">
        <f>Table15[[#This Row],[Full Name]]</f>
        <v>0</v>
      </c>
      <c r="B48" s="29" t="str">
        <f>IF(Table15[[#This Row],[Full Name]]="","",IF(IFERROR(IFERROR(VLOOKUP(Table15[[#This Row],[Full Name]],'Mens League'!B:B,1,FALSE),VLOOKUP(Table15[[#This Row],[Full Name]],'Women''s League'!B:B,1,FALSE)),"NEEDS ADDING")="NEEDS ADDING","NEEDS ADDING","OK"))</f>
        <v/>
      </c>
      <c r="C48" s="29" t="str">
        <f>IF(Table15[[#This Row],[Position]]="","",IF(Table15[[#This Row],[Rank]]=1,30,IF(Table15[[#This Row],[Rank]]=2,29,IF(Table15[[#This Row],[Rank]]=3,28,IF(Table15[[#This Row],[Rank]]=4,27,IF(Table15[[#This Row],[Rank]]=5,26,IF(Table15[[#This Row],[Rank]]=6,25,IF(Table15[[#This Row],[Rank]]=7,24,IF(Table15[[#This Row],[Rank]]=8,23,IF(Table15[[#This Row],[Rank]]=9,22,IF(Table15[[#This Row],[Rank]]=10,21,IF(Table15[[#This Row],[Rank]]=11,20,IF(Table15[[#This Row],[Rank]]=12,19,IF(Table15[[#This Row],[Rank]]=13,18,IF(Table15[[#This Row],[Rank]]=14,17,IF(Table15[[#This Row],[Rank]]=15,16,IF(Table15[[#This Row],[Rank]]=16,15,IF(Table15[[#This Row],[Rank]]=17,14,IF(Table15[[#This Row],[Rank]]=18,13,IF(Table15[[#This Row],[Rank]]=19,12,IF(Table15[[#This Row],[Rank]]=20,11,IF(Table15[[#This Row],[Rank]]=21,10,IF(Table15[[#This Row],[Rank]]=22,9,IF(Table15[[#This Row],[Rank]]=23,8,IF(Table15[[#This Row],[Rank]]=24,7,IF(Table15[[#This Row],[Rank]]=25,6,IF(Table15[[#This Row],[Rank]]=26,5,IF(Table15[[#This Row],[Rank]]=27,4,IF(Table15[[#This Row],[Rank]]=28,3,IF(Table15[[#This Row],[Rank]]=29,2,IF(Table15[[#This Row],[Rank]]=30,1,0)))))))))))))))))))))))))))))))</f>
        <v/>
      </c>
      <c r="D48" s="7" t="str">
        <f>IF(Table15[[#This Row],[Category]]="","",IF(Table15[[#This Row],[Category]]="M",COUNTIF($I$2:$I48,"M"),IF(Table15[[#This Row],[Category]]="F",COUNTIF($I$2:$I48,"F"),0)))</f>
        <v/>
      </c>
      <c r="E48" s="34"/>
      <c r="F48" s="35"/>
      <c r="G48" s="36"/>
      <c r="H48" s="36"/>
      <c r="I48" s="37"/>
    </row>
  </sheetData>
  <phoneticPr fontId="11" type="noConversion"/>
  <conditionalFormatting sqref="B2:B48">
    <cfRule type="containsText" dxfId="39" priority="1" operator="containsText" text="OK">
      <formula>NOT(ISERROR(SEARCH("OK",B2)))</formula>
    </cfRule>
    <cfRule type="containsText" dxfId="38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A409-E379-4568-8F11-FB3715B4CC70}">
  <sheetPr>
    <tabColor rgb="FF00B0F0"/>
  </sheetPr>
  <dimension ref="A1:I48"/>
  <sheetViews>
    <sheetView topLeftCell="B1" workbookViewId="0">
      <selection activeCell="I12" sqref="I12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Table156[[#This Row],[Full Name]]</f>
        <v>SIDANI, Ramzi</v>
      </c>
      <c r="B2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30</v>
      </c>
      <c r="D2" s="7">
        <f>IF(Table156[[#This Row],[Category]]="","",IF(Table156[[#This Row],[Category]]="M",COUNTIF($I$2:$I2,"M"),IF(Table156[[#This Row],[Category]]="F",COUNTIF($I$2:$I2,"F"),0)))</f>
        <v>1</v>
      </c>
      <c r="E2" s="34">
        <v>1</v>
      </c>
      <c r="F2" s="56">
        <v>9.0324074074074071E-2</v>
      </c>
      <c r="G2" s="36" t="s">
        <v>186</v>
      </c>
      <c r="H2" s="36" t="s">
        <v>1</v>
      </c>
      <c r="I2" s="37" t="s">
        <v>146</v>
      </c>
    </row>
    <row r="3" spans="1:9" x14ac:dyDescent="0.25">
      <c r="A3" s="26" t="str">
        <f>Table156[[#This Row],[Full Name]]</f>
        <v>WOODS, Paul</v>
      </c>
      <c r="B3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3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29</v>
      </c>
      <c r="D3" s="7">
        <f>IF(Table156[[#This Row],[Category]]="","",IF(Table156[[#This Row],[Category]]="M",COUNTIF($I$2:$I3,"M"),IF(Table156[[#This Row],[Category]]="F",COUNTIF($I$2:$I3,"F"),0)))</f>
        <v>2</v>
      </c>
      <c r="E3" s="34">
        <v>2</v>
      </c>
      <c r="F3" s="56">
        <v>9.436342592592592E-2</v>
      </c>
      <c r="G3" s="36" t="s">
        <v>187</v>
      </c>
      <c r="H3" s="36" t="s">
        <v>56</v>
      </c>
      <c r="I3" s="37" t="s">
        <v>146</v>
      </c>
    </row>
    <row r="4" spans="1:9" ht="15" customHeight="1" x14ac:dyDescent="0.25">
      <c r="A4" s="26" t="str">
        <f>Table156[[#This Row],[Full Name]]</f>
        <v>CHAMBERS, Alistair</v>
      </c>
      <c r="B4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4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28</v>
      </c>
      <c r="D4" s="7">
        <f>IF(Table156[[#This Row],[Category]]="","",IF(Table156[[#This Row],[Category]]="M",COUNTIF($I$2:$I4,"M"),IF(Table156[[#This Row],[Category]]="F",COUNTIF($I$2:$I4,"F"),0)))</f>
        <v>3</v>
      </c>
      <c r="E4" s="34">
        <v>3</v>
      </c>
      <c r="F4" s="56">
        <v>9.644675925925926E-2</v>
      </c>
      <c r="G4" s="36" t="s">
        <v>188</v>
      </c>
      <c r="H4" s="36" t="s">
        <v>68</v>
      </c>
      <c r="I4" s="37" t="s">
        <v>146</v>
      </c>
    </row>
    <row r="5" spans="1:9" ht="29.25" x14ac:dyDescent="0.25">
      <c r="A5" s="26" t="str">
        <f>Table156[[#This Row],[Full Name]]</f>
        <v>BROCKLEHURST, Matt</v>
      </c>
      <c r="B5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5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27</v>
      </c>
      <c r="D5" s="7">
        <f>IF(Table156[[#This Row],[Category]]="","",IF(Table156[[#This Row],[Category]]="M",COUNTIF($I$2:$I5,"M"),IF(Table156[[#This Row],[Category]]="F",COUNTIF($I$2:$I5,"F"),0)))</f>
        <v>4</v>
      </c>
      <c r="E5" s="34">
        <v>4</v>
      </c>
      <c r="F5" s="56">
        <v>0.1011574074074074</v>
      </c>
      <c r="G5" s="36" t="s">
        <v>189</v>
      </c>
      <c r="H5" s="36" t="s">
        <v>190</v>
      </c>
      <c r="I5" s="37" t="s">
        <v>146</v>
      </c>
    </row>
    <row r="6" spans="1:9" x14ac:dyDescent="0.25">
      <c r="A6" s="26" t="str">
        <f>Table156[[#This Row],[Full Name]]</f>
        <v>BOLTON, Ian</v>
      </c>
      <c r="B6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6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26</v>
      </c>
      <c r="D6" s="7">
        <f>IF(Table156[[#This Row],[Category]]="","",IF(Table156[[#This Row],[Category]]="M",COUNTIF($I$2:$I6,"M"),IF(Table156[[#This Row],[Category]]="F",COUNTIF($I$2:$I6,"F"),0)))</f>
        <v>5</v>
      </c>
      <c r="E6" s="34">
        <v>5</v>
      </c>
      <c r="F6" s="56">
        <v>0.10165509259259259</v>
      </c>
      <c r="G6" s="36" t="s">
        <v>172</v>
      </c>
      <c r="H6" s="36" t="s">
        <v>5</v>
      </c>
      <c r="I6" s="37" t="s">
        <v>146</v>
      </c>
    </row>
    <row r="7" spans="1:9" x14ac:dyDescent="0.25">
      <c r="A7" s="26" t="str">
        <f>Table156[[#This Row],[Full Name]]</f>
        <v>BOOTE, Francesca</v>
      </c>
      <c r="B7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7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30</v>
      </c>
      <c r="D7" s="7">
        <f>IF(Table156[[#This Row],[Category]]="","",IF(Table156[[#This Row],[Category]]="M",COUNTIF($I$2:$I7,"M"),IF(Table156[[#This Row],[Category]]="F",COUNTIF($I$2:$I7,"F"),0)))</f>
        <v>1</v>
      </c>
      <c r="E7" s="34">
        <v>6</v>
      </c>
      <c r="F7" s="56">
        <v>0.1026736111111111</v>
      </c>
      <c r="G7" s="36" t="s">
        <v>191</v>
      </c>
      <c r="H7" s="36" t="s">
        <v>192</v>
      </c>
      <c r="I7" s="37" t="s">
        <v>156</v>
      </c>
    </row>
    <row r="8" spans="1:9" x14ac:dyDescent="0.25">
      <c r="A8" s="26" t="str">
        <f>Table156[[#This Row],[Full Name]]</f>
        <v>HORN, Patrick</v>
      </c>
      <c r="B8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8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25</v>
      </c>
      <c r="D8" s="7">
        <f>IF(Table156[[#This Row],[Category]]="","",IF(Table156[[#This Row],[Category]]="M",COUNTIF($I$2:$I8,"M"),IF(Table156[[#This Row],[Category]]="F",COUNTIF($I$2:$I8,"F"),0)))</f>
        <v>6</v>
      </c>
      <c r="E8" s="34">
        <v>7</v>
      </c>
      <c r="F8" s="56">
        <v>0.10295138888888888</v>
      </c>
      <c r="G8" s="36" t="s">
        <v>193</v>
      </c>
      <c r="H8" s="36" t="s">
        <v>46</v>
      </c>
      <c r="I8" s="37" t="s">
        <v>146</v>
      </c>
    </row>
    <row r="9" spans="1:9" x14ac:dyDescent="0.25">
      <c r="A9" s="26" t="str">
        <f>Table156[[#This Row],[Full Name]]</f>
        <v>CODD, Paul</v>
      </c>
      <c r="B9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9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24</v>
      </c>
      <c r="D9" s="7">
        <f>IF(Table156[[#This Row],[Category]]="","",IF(Table156[[#This Row],[Category]]="M",COUNTIF($I$2:$I9,"M"),IF(Table156[[#This Row],[Category]]="F",COUNTIF($I$2:$I9,"F"),0)))</f>
        <v>7</v>
      </c>
      <c r="E9" s="34">
        <v>8</v>
      </c>
      <c r="F9" s="56">
        <v>0.1031712962962963</v>
      </c>
      <c r="G9" s="36" t="s">
        <v>194</v>
      </c>
      <c r="H9" s="36" t="s">
        <v>48</v>
      </c>
      <c r="I9" s="37" t="s">
        <v>146</v>
      </c>
    </row>
    <row r="10" spans="1:9" x14ac:dyDescent="0.25">
      <c r="A10" s="26" t="str">
        <f>Table156[[#This Row],[Full Name]]</f>
        <v>TAYLOR, Charlene</v>
      </c>
      <c r="B10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0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29</v>
      </c>
      <c r="D10" s="7">
        <f>IF(Table156[[#This Row],[Category]]="","",IF(Table156[[#This Row],[Category]]="M",COUNTIF($I$2:$I10,"M"),IF(Table156[[#This Row],[Category]]="F",COUNTIF($I$2:$I10,"F"),0)))</f>
        <v>2</v>
      </c>
      <c r="E10" s="34">
        <v>9</v>
      </c>
      <c r="F10" s="56">
        <v>0.10510416666666667</v>
      </c>
      <c r="G10" s="36" t="s">
        <v>195</v>
      </c>
      <c r="H10" s="36" t="s">
        <v>105</v>
      </c>
      <c r="I10" s="37" t="s">
        <v>156</v>
      </c>
    </row>
    <row r="11" spans="1:9" x14ac:dyDescent="0.25">
      <c r="A11" s="26" t="str">
        <f>Table156[[#This Row],[Full Name]]</f>
        <v>HAMPSON, Richard</v>
      </c>
      <c r="B11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1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23</v>
      </c>
      <c r="D11" s="7">
        <f>IF(Table156[[#This Row],[Category]]="","",IF(Table156[[#This Row],[Category]]="M",COUNTIF($I$2:$I11,"M"),IF(Table156[[#This Row],[Category]]="F",COUNTIF($I$2:$I11,"F"),0)))</f>
        <v>8</v>
      </c>
      <c r="E11" s="34">
        <v>10</v>
      </c>
      <c r="F11" s="56">
        <v>0.10653935185185186</v>
      </c>
      <c r="G11" s="36" t="s">
        <v>196</v>
      </c>
      <c r="H11" s="36" t="s">
        <v>118</v>
      </c>
      <c r="I11" s="37" t="s">
        <v>146</v>
      </c>
    </row>
    <row r="12" spans="1:9" x14ac:dyDescent="0.25">
      <c r="A12" s="26" t="str">
        <f>Table156[[#This Row],[Full Name]]</f>
        <v>WIDEMAN, Emily</v>
      </c>
      <c r="B12" s="28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2" s="28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28</v>
      </c>
      <c r="D12" s="7">
        <f>IF(Table156[[#This Row],[Category]]="","",IF(Table156[[#This Row],[Category]]="M",COUNTIF($I$2:$I12,"M"),IF(Table156[[#This Row],[Category]]="F",COUNTIF($I$2:$I12,"F"),0)))</f>
        <v>3</v>
      </c>
      <c r="E12" s="34">
        <v>11</v>
      </c>
      <c r="F12" s="56">
        <v>0.10719907407407407</v>
      </c>
      <c r="G12" s="36" t="s">
        <v>197</v>
      </c>
      <c r="H12" s="36" t="s">
        <v>38</v>
      </c>
      <c r="I12" s="37" t="s">
        <v>156</v>
      </c>
    </row>
    <row r="13" spans="1:9" x14ac:dyDescent="0.25">
      <c r="A13" s="27" t="str">
        <f>Table156[[#This Row],[Full Name]]</f>
        <v>WOOD, Clare</v>
      </c>
      <c r="B13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3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27</v>
      </c>
      <c r="D13" s="7">
        <f>IF(Table156[[#This Row],[Category]]="","",IF(Table156[[#This Row],[Category]]="M",COUNTIF($I$2:$I13,"M"),IF(Table156[[#This Row],[Category]]="F",COUNTIF($I$2:$I13,"F"),0)))</f>
        <v>4</v>
      </c>
      <c r="E13" s="38">
        <v>12</v>
      </c>
      <c r="F13" s="56">
        <v>0.11074074074074074</v>
      </c>
      <c r="G13" s="40" t="s">
        <v>198</v>
      </c>
      <c r="H13" s="40" t="s">
        <v>100</v>
      </c>
      <c r="I13" s="41" t="s">
        <v>156</v>
      </c>
    </row>
    <row r="14" spans="1:9" x14ac:dyDescent="0.25">
      <c r="A14" s="27" t="str">
        <f>Table156[[#This Row],[Full Name]]</f>
        <v>JOYCE, Matthew</v>
      </c>
      <c r="B14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4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22</v>
      </c>
      <c r="D14" s="7">
        <f>IF(Table156[[#This Row],[Category]]="","",IF(Table156[[#This Row],[Category]]="M",COUNTIF($I$2:$I14,"M"),IF(Table156[[#This Row],[Category]]="F",COUNTIF($I$2:$I14,"F"),0)))</f>
        <v>9</v>
      </c>
      <c r="E14" s="34">
        <v>13</v>
      </c>
      <c r="F14" s="56">
        <v>0.11300925925925925</v>
      </c>
      <c r="G14" s="36" t="s">
        <v>199</v>
      </c>
      <c r="H14" s="36" t="s">
        <v>57</v>
      </c>
      <c r="I14" s="37" t="s">
        <v>146</v>
      </c>
    </row>
    <row r="15" spans="1:9" x14ac:dyDescent="0.25">
      <c r="A15" s="27" t="str">
        <f>Table156[[#This Row],[Full Name]]</f>
        <v>GRAVES, Laura</v>
      </c>
      <c r="B15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5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26</v>
      </c>
      <c r="D15" s="7">
        <f>IF(Table156[[#This Row],[Category]]="","",IF(Table156[[#This Row],[Category]]="M",COUNTIF($I$2:$I15,"M"),IF(Table156[[#This Row],[Category]]="F",COUNTIF($I$2:$I15,"F"),0)))</f>
        <v>5</v>
      </c>
      <c r="E15" s="34">
        <v>14</v>
      </c>
      <c r="F15" s="56">
        <v>0.11858796296296296</v>
      </c>
      <c r="G15" s="36" t="s">
        <v>200</v>
      </c>
      <c r="H15" s="36" t="s">
        <v>13</v>
      </c>
      <c r="I15" s="37" t="s">
        <v>156</v>
      </c>
    </row>
    <row r="16" spans="1:9" x14ac:dyDescent="0.25">
      <c r="A16" s="27" t="str">
        <f>Table156[[#This Row],[Full Name]]</f>
        <v>WATKINS, Catherine</v>
      </c>
      <c r="B16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6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25</v>
      </c>
      <c r="D16" s="7">
        <f>IF(Table156[[#This Row],[Category]]="","",IF(Table156[[#This Row],[Category]]="M",COUNTIF($I$2:$I16,"M"),IF(Table156[[#This Row],[Category]]="F",COUNTIF($I$2:$I16,"F"),0)))</f>
        <v>6</v>
      </c>
      <c r="E16" s="34">
        <v>15</v>
      </c>
      <c r="F16" s="56">
        <v>0.12170138888888889</v>
      </c>
      <c r="G16" s="36" t="s">
        <v>201</v>
      </c>
      <c r="H16" s="36" t="s">
        <v>98</v>
      </c>
      <c r="I16" s="37" t="s">
        <v>156</v>
      </c>
    </row>
    <row r="17" spans="1:9" x14ac:dyDescent="0.25">
      <c r="A17" s="27" t="str">
        <f>Table156[[#This Row],[Full Name]]</f>
        <v>JEFFERY, Helen</v>
      </c>
      <c r="B17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7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24</v>
      </c>
      <c r="D17" s="7">
        <f>IF(Table156[[#This Row],[Category]]="","",IF(Table156[[#This Row],[Category]]="M",COUNTIF($I$2:$I17,"M"),IF(Table156[[#This Row],[Category]]="F",COUNTIF($I$2:$I17,"F"),0)))</f>
        <v>7</v>
      </c>
      <c r="E17" s="34">
        <v>16</v>
      </c>
      <c r="F17" s="56">
        <v>0.12173611111111111</v>
      </c>
      <c r="G17" s="36" t="s">
        <v>201</v>
      </c>
      <c r="H17" s="36" t="s">
        <v>65</v>
      </c>
      <c r="I17" s="37" t="s">
        <v>156</v>
      </c>
    </row>
    <row r="18" spans="1:9" x14ac:dyDescent="0.25">
      <c r="A18" s="27" t="str">
        <f>Table156[[#This Row],[Full Name]]</f>
        <v>LAWLESS, Sandra</v>
      </c>
      <c r="B18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8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23</v>
      </c>
      <c r="D18" s="7">
        <f>IF(Table156[[#This Row],[Category]]="","",IF(Table156[[#This Row],[Category]]="M",COUNTIF($I$2:$I18,"M"),IF(Table156[[#This Row],[Category]]="F",COUNTIF($I$2:$I18,"F"),0)))</f>
        <v>8</v>
      </c>
      <c r="E18" s="34">
        <v>17</v>
      </c>
      <c r="F18" s="56">
        <v>0.12216435185185186</v>
      </c>
      <c r="G18" s="36" t="s">
        <v>202</v>
      </c>
      <c r="H18" s="36" t="s">
        <v>66</v>
      </c>
      <c r="I18" s="37" t="s">
        <v>156</v>
      </c>
    </row>
    <row r="19" spans="1:9" x14ac:dyDescent="0.25">
      <c r="A19" s="27" t="str">
        <f>Table156[[#This Row],[Full Name]]</f>
        <v>OSBORNE, Chris</v>
      </c>
      <c r="B19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19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21</v>
      </c>
      <c r="D19" s="7">
        <f>IF(Table156[[#This Row],[Category]]="","",IF(Table156[[#This Row],[Category]]="M",COUNTIF($I$2:$I19,"M"),IF(Table156[[#This Row],[Category]]="F",COUNTIF($I$2:$I19,"F"),0)))</f>
        <v>10</v>
      </c>
      <c r="E19" s="34">
        <v>18</v>
      </c>
      <c r="F19" s="56">
        <v>0.12303240740740741</v>
      </c>
      <c r="G19" s="36" t="s">
        <v>203</v>
      </c>
      <c r="H19" s="36" t="s">
        <v>40</v>
      </c>
      <c r="I19" s="37" t="s">
        <v>146</v>
      </c>
    </row>
    <row r="20" spans="1:9" x14ac:dyDescent="0.25">
      <c r="A20" s="27" t="str">
        <f>Table156[[#This Row],[Full Name]]</f>
        <v>BENNION, Nancy</v>
      </c>
      <c r="B20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0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22</v>
      </c>
      <c r="D20" s="7">
        <f>IF(Table156[[#This Row],[Category]]="","",IF(Table156[[#This Row],[Category]]="M",COUNTIF($I$2:$I20,"M"),IF(Table156[[#This Row],[Category]]="F",COUNTIF($I$2:$I20,"F"),0)))</f>
        <v>9</v>
      </c>
      <c r="E20" s="34">
        <v>19</v>
      </c>
      <c r="F20" s="56">
        <v>0.12712962962962962</v>
      </c>
      <c r="G20" s="36" t="s">
        <v>204</v>
      </c>
      <c r="H20" s="36" t="s">
        <v>50</v>
      </c>
      <c r="I20" s="37" t="s">
        <v>156</v>
      </c>
    </row>
    <row r="21" spans="1:9" x14ac:dyDescent="0.25">
      <c r="A21" s="27" t="str">
        <f>Table156[[#This Row],[Full Name]]</f>
        <v>AVERILLO, Paul</v>
      </c>
      <c r="B21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1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20</v>
      </c>
      <c r="D21" s="7">
        <f>IF(Table156[[#This Row],[Category]]="","",IF(Table156[[#This Row],[Category]]="M",COUNTIF($I$2:$I21,"M"),IF(Table156[[#This Row],[Category]]="F",COUNTIF($I$2:$I21,"F"),0)))</f>
        <v>11</v>
      </c>
      <c r="E21" s="34">
        <v>20</v>
      </c>
      <c r="F21" s="56">
        <v>0.12800925925925927</v>
      </c>
      <c r="G21" s="36" t="s">
        <v>151</v>
      </c>
      <c r="H21" s="36" t="s">
        <v>54</v>
      </c>
      <c r="I21" s="37" t="s">
        <v>146</v>
      </c>
    </row>
    <row r="22" spans="1:9" x14ac:dyDescent="0.25">
      <c r="A22" s="27" t="str">
        <f>Table156[[#This Row],[Full Name]]</f>
        <v>TRICKETT, Andrea</v>
      </c>
      <c r="B22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2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21</v>
      </c>
      <c r="D22" s="7">
        <f>IF(Table156[[#This Row],[Category]]="","",IF(Table156[[#This Row],[Category]]="M",COUNTIF($I$2:$I22,"M"),IF(Table156[[#This Row],[Category]]="F",COUNTIF($I$2:$I22,"F"),0)))</f>
        <v>10</v>
      </c>
      <c r="E22" s="34">
        <v>21</v>
      </c>
      <c r="F22" s="56">
        <v>0.12930555555555556</v>
      </c>
      <c r="G22" s="36" t="s">
        <v>205</v>
      </c>
      <c r="H22" s="36" t="s">
        <v>36</v>
      </c>
      <c r="I22" s="37" t="s">
        <v>156</v>
      </c>
    </row>
    <row r="23" spans="1:9" x14ac:dyDescent="0.25">
      <c r="A23" s="27" t="str">
        <f>Table156[[#This Row],[Full Name]]</f>
        <v>COLE, Andy</v>
      </c>
      <c r="B23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3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19</v>
      </c>
      <c r="D23" s="7">
        <f>IF(Table156[[#This Row],[Category]]="","",IF(Table156[[#This Row],[Category]]="M",COUNTIF($I$2:$I23,"M"),IF(Table156[[#This Row],[Category]]="F",COUNTIF($I$2:$I23,"F"),0)))</f>
        <v>12</v>
      </c>
      <c r="E23" s="34">
        <v>22</v>
      </c>
      <c r="F23" s="56">
        <v>0.13276620370370371</v>
      </c>
      <c r="G23" s="36" t="s">
        <v>206</v>
      </c>
      <c r="H23" s="36" t="s">
        <v>74</v>
      </c>
      <c r="I23" s="37" t="s">
        <v>146</v>
      </c>
    </row>
    <row r="24" spans="1:9" x14ac:dyDescent="0.25">
      <c r="A24" s="27" t="str">
        <f>Table156[[#This Row],[Full Name]]</f>
        <v>TURNER, Sophie</v>
      </c>
      <c r="B24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4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20</v>
      </c>
      <c r="D24" s="7">
        <f>IF(Table156[[#This Row],[Category]]="","",IF(Table156[[#This Row],[Category]]="M",COUNTIF($I$2:$I24,"M"),IF(Table156[[#This Row],[Category]]="F",COUNTIF($I$2:$I24,"F"),0)))</f>
        <v>11</v>
      </c>
      <c r="E24" s="34">
        <v>23</v>
      </c>
      <c r="F24" s="56">
        <v>0.13324074074074074</v>
      </c>
      <c r="G24" s="36" t="s">
        <v>207</v>
      </c>
      <c r="H24" s="36" t="s">
        <v>127</v>
      </c>
      <c r="I24" s="37" t="s">
        <v>156</v>
      </c>
    </row>
    <row r="25" spans="1:9" x14ac:dyDescent="0.25">
      <c r="A25" s="27" t="str">
        <f>Table156[[#This Row],[Full Name]]</f>
        <v>ARCHER, Abby</v>
      </c>
      <c r="B25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5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19</v>
      </c>
      <c r="D25" s="7">
        <f>IF(Table156[[#This Row],[Category]]="","",IF(Table156[[#This Row],[Category]]="M",COUNTIF($I$2:$I25,"M"),IF(Table156[[#This Row],[Category]]="F",COUNTIF($I$2:$I25,"F"),0)))</f>
        <v>12</v>
      </c>
      <c r="E25" s="34">
        <v>24</v>
      </c>
      <c r="F25" s="56">
        <v>0.13475694444444444</v>
      </c>
      <c r="G25" s="36" t="s">
        <v>210</v>
      </c>
      <c r="H25" s="36" t="s">
        <v>130</v>
      </c>
      <c r="I25" s="37" t="s">
        <v>156</v>
      </c>
    </row>
    <row r="26" spans="1:9" x14ac:dyDescent="0.25">
      <c r="A26" s="27" t="str">
        <f>Table156[[#This Row],[Full Name]]</f>
        <v>FINN, Helen</v>
      </c>
      <c r="B26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6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18</v>
      </c>
      <c r="D26" s="7">
        <f>IF(Table156[[#This Row],[Category]]="","",IF(Table156[[#This Row],[Category]]="M",COUNTIF($I$2:$I26,"M"),IF(Table156[[#This Row],[Category]]="F",COUNTIF($I$2:$I26,"F"),0)))</f>
        <v>13</v>
      </c>
      <c r="E26" s="34">
        <v>25</v>
      </c>
      <c r="F26" s="56">
        <v>0.1370949074074074</v>
      </c>
      <c r="G26" s="36" t="s">
        <v>208</v>
      </c>
      <c r="H26" s="36" t="s">
        <v>47</v>
      </c>
      <c r="I26" s="37" t="s">
        <v>156</v>
      </c>
    </row>
    <row r="27" spans="1:9" x14ac:dyDescent="0.25">
      <c r="A27" s="27" t="str">
        <f>Table156[[#This Row],[Full Name]]</f>
        <v>STURLA, Tim</v>
      </c>
      <c r="B27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>OK</v>
      </c>
      <c r="C27" s="29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>18</v>
      </c>
      <c r="D27" s="7">
        <f>IF(Table156[[#This Row],[Category]]="","",IF(Table156[[#This Row],[Category]]="M",COUNTIF($I$2:$I27,"M"),IF(Table156[[#This Row],[Category]]="F",COUNTIF($I$2:$I27,"F"),0)))</f>
        <v>13</v>
      </c>
      <c r="E27" s="34">
        <v>26</v>
      </c>
      <c r="F27" s="56">
        <v>0.14738425925925927</v>
      </c>
      <c r="G27" s="36" t="s">
        <v>209</v>
      </c>
      <c r="H27" s="36" t="s">
        <v>78</v>
      </c>
      <c r="I27" s="37" t="s">
        <v>146</v>
      </c>
    </row>
    <row r="28" spans="1:9" x14ac:dyDescent="0.25">
      <c r="A28" s="27">
        <f>Table156[[#This Row],[Full Name]]</f>
        <v>0</v>
      </c>
      <c r="B28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28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28" s="7" t="str">
        <f>IF(Table156[[#This Row],[Category]]="","",IF(Table156[[#This Row],[Category]]="M",COUNTIF($I$2:$I28,"M"),IF(Table156[[#This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Table156[[#This Row],[Full Name]]</f>
        <v>0</v>
      </c>
      <c r="B29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29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29" s="7" t="str">
        <f>IF(Table156[[#This Row],[Category]]="","",IF(Table156[[#This Row],[Category]]="M",COUNTIF($I$2:$I29,"M"),IF(Table156[[#This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Table156[[#This Row],[Full Name]]</f>
        <v>0</v>
      </c>
      <c r="B30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0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0" s="7" t="str">
        <f>IF(Table156[[#This Row],[Category]]="","",IF(Table156[[#This Row],[Category]]="M",COUNTIF($I$2:$I30,"M"),IF(Table156[[#This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Table156[[#This Row],[Full Name]]</f>
        <v>0</v>
      </c>
      <c r="B31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1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1" s="7" t="str">
        <f>IF(Table156[[#This Row],[Category]]="","",IF(Table156[[#This Row],[Category]]="M",COUNTIF($I$2:$I31,"M"),IF(Table156[[#This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Table156[[#This Row],[Full Name]]</f>
        <v>0</v>
      </c>
      <c r="B32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2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2" s="7" t="str">
        <f>IF(Table156[[#This Row],[Category]]="","",IF(Table156[[#This Row],[Category]]="M",COUNTIF($I$2:$I32,"M"),IF(Table156[[#This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Table156[[#This Row],[Full Name]]</f>
        <v>0</v>
      </c>
      <c r="B33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3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3" s="7" t="str">
        <f>IF(Table156[[#This Row],[Category]]="","",IF(Table156[[#This Row],[Category]]="M",COUNTIF($I$2:$I33,"M"),IF(Table156[[#This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Table156[[#This Row],[Full Name]]</f>
        <v>0</v>
      </c>
      <c r="B34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4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4" s="7" t="str">
        <f>IF(Table156[[#This Row],[Category]]="","",IF(Table156[[#This Row],[Category]]="M",COUNTIF($I$2:$I34,"M"),IF(Table156[[#This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Table156[[#This Row],[Full Name]]</f>
        <v>0</v>
      </c>
      <c r="B35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5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5" s="7" t="str">
        <f>IF(Table156[[#This Row],[Category]]="","",IF(Table156[[#This Row],[Category]]="M",COUNTIF($I$2:$I35,"M"),IF(Table156[[#This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Table156[[#This Row],[Full Name]]</f>
        <v>0</v>
      </c>
      <c r="B36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6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6" s="7" t="str">
        <f>IF(Table156[[#This Row],[Category]]="","",IF(Table156[[#This Row],[Category]]="M",COUNTIF($I$2:$I36,"M"),IF(Table156[[#This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Table156[[#This Row],[Full Name]]</f>
        <v>0</v>
      </c>
      <c r="B37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7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7" s="7" t="str">
        <f>IF(Table156[[#This Row],[Category]]="","",IF(Table156[[#This Row],[Category]]="M",COUNTIF($I$2:$I37,"M"),IF(Table156[[#This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Table156[[#This Row],[Full Name]]</f>
        <v>0</v>
      </c>
      <c r="B38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8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8" s="7" t="str">
        <f>IF(Table156[[#This Row],[Category]]="","",IF(Table156[[#This Row],[Category]]="M",COUNTIF($I$2:$I38,"M"),IF(Table156[[#This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Table156[[#This Row],[Full Name]]</f>
        <v>0</v>
      </c>
      <c r="B39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39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39" s="7" t="str">
        <f>IF(Table156[[#This Row],[Category]]="","",IF(Table156[[#This Row],[Category]]="M",COUNTIF($I$2:$I39,"M"),IF(Table156[[#This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Table156[[#This Row],[Full Name]]</f>
        <v>0</v>
      </c>
      <c r="B40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0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0" s="7" t="str">
        <f>IF(Table156[[#This Row],[Category]]="","",IF(Table156[[#This Row],[Category]]="M",COUNTIF($I$2:$I40,"M"),IF(Table156[[#This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Table156[[#This Row],[Full Name]]</f>
        <v>0</v>
      </c>
      <c r="B41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1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1" s="7" t="str">
        <f>IF(Table156[[#This Row],[Category]]="","",IF(Table156[[#This Row],[Category]]="M",COUNTIF($I$2:$I41,"M"),IF(Table156[[#This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Table156[[#This Row],[Full Name]]</f>
        <v>0</v>
      </c>
      <c r="B42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2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2" s="7" t="str">
        <f>IF(Table156[[#This Row],[Category]]="","",IF(Table156[[#This Row],[Category]]="M",COUNTIF($I$2:$I42,"M"),IF(Table156[[#This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Table156[[#This Row],[Full Name]]</f>
        <v>0</v>
      </c>
      <c r="B43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3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3" s="7" t="str">
        <f>IF(Table156[[#This Row],[Category]]="","",IF(Table156[[#This Row],[Category]]="M",COUNTIF($I$2:$I43,"M"),IF(Table156[[#This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Table156[[#This Row],[Full Name]]</f>
        <v>0</v>
      </c>
      <c r="B44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4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4" s="7" t="str">
        <f>IF(Table156[[#This Row],[Category]]="","",IF(Table156[[#This Row],[Category]]="M",COUNTIF($I$2:$I44,"M"),IF(Table156[[#This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Table156[[#This Row],[Full Name]]</f>
        <v>0</v>
      </c>
      <c r="B45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5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5" s="7" t="str">
        <f>IF(Table156[[#This Row],[Category]]="","",IF(Table156[[#This Row],[Category]]="M",COUNTIF($I$2:$I45,"M"),IF(Table156[[#This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Table156[[#This Row],[Full Name]]</f>
        <v>0</v>
      </c>
      <c r="B46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6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6" s="7" t="str">
        <f>IF(Table156[[#This Row],[Category]]="","",IF(Table156[[#This Row],[Category]]="M",COUNTIF($I$2:$I46,"M"),IF(Table156[[#This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Table156[[#This Row],[Full Name]]</f>
        <v>0</v>
      </c>
      <c r="B47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7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7" s="7" t="str">
        <f>IF(Table156[[#This Row],[Category]]="","",IF(Table156[[#This Row],[Category]]="M",COUNTIF($I$2:$I47,"M"),IF(Table156[[#This Row],[Category]]="F",COUNTIF($I$2:$I47,"F"),0)))</f>
        <v/>
      </c>
      <c r="E47" s="34"/>
      <c r="F47" s="56"/>
      <c r="G47" s="36"/>
      <c r="H47" s="36"/>
      <c r="I47" s="37"/>
    </row>
    <row r="48" spans="1:9" x14ac:dyDescent="0.25">
      <c r="A48" s="27">
        <f>Table156[[#This Row],[Full Name]]</f>
        <v>0</v>
      </c>
      <c r="B48" s="29" t="str">
        <f>IF(Table156[[#This Row],[Full Name]]="","",IF(IFERROR(IFERROR(VLOOKUP(Table156[[#This Row],[Full Name]],'Mens League'!B:B,1,FALSE),VLOOKUP(Table156[[#This Row],[Full Name]],'Women''s League'!B:B,1,FALSE)),"NEEDS ADDING")="NEEDS ADDING","NEEDS ADDING","OK"))</f>
        <v/>
      </c>
      <c r="C48" s="29" t="str">
        <f>IF(Table156[[#This Row],[Position]]="","",IF(Table156[[#This Row],[Rank]]=1,30,IF(Table156[[#This Row],[Rank]]=2,29,IF(Table156[[#This Row],[Rank]]=3,28,IF(Table156[[#This Row],[Rank]]=4,27,IF(Table156[[#This Row],[Rank]]=5,26,IF(Table156[[#This Row],[Rank]]=6,25,IF(Table156[[#This Row],[Rank]]=7,24,IF(Table156[[#This Row],[Rank]]=8,23,IF(Table156[[#This Row],[Rank]]=9,22,IF(Table156[[#This Row],[Rank]]=10,21,IF(Table156[[#This Row],[Rank]]=11,20,IF(Table156[[#This Row],[Rank]]=12,19,IF(Table156[[#This Row],[Rank]]=13,18,IF(Table156[[#This Row],[Rank]]=14,17,IF(Table156[[#This Row],[Rank]]=15,16,IF(Table156[[#This Row],[Rank]]=16,15,IF(Table156[[#This Row],[Rank]]=17,14,IF(Table156[[#This Row],[Rank]]=18,13,IF(Table156[[#This Row],[Rank]]=19,12,IF(Table156[[#This Row],[Rank]]=20,11,IF(Table156[[#This Row],[Rank]]=21,10,IF(Table156[[#This Row],[Rank]]=22,9,IF(Table156[[#This Row],[Rank]]=23,8,IF(Table156[[#This Row],[Rank]]=24,7,IF(Table156[[#This Row],[Rank]]=25,6,IF(Table156[[#This Row],[Rank]]=26,5,IF(Table156[[#This Row],[Rank]]=27,4,IF(Table156[[#This Row],[Rank]]=28,3,IF(Table156[[#This Row],[Rank]]=29,2,IF(Table156[[#This Row],[Rank]]=30,1,0)))))))))))))))))))))))))))))))</f>
        <v/>
      </c>
      <c r="D48" s="7" t="str">
        <f>IF(Table156[[#This Row],[Category]]="","",IF(Table156[[#This Row],[Category]]="M",COUNTIF($I$2:$I48,"M"),IF(Table156[[#This Row],[Category]]="F",COUNTIF($I$2:$I48,"F"),0)))</f>
        <v/>
      </c>
      <c r="E48" s="34"/>
      <c r="F48" s="56"/>
      <c r="G48" s="36"/>
      <c r="H48" s="36"/>
      <c r="I48" s="37"/>
    </row>
  </sheetData>
  <phoneticPr fontId="11" type="noConversion"/>
  <conditionalFormatting sqref="B2:B48">
    <cfRule type="containsText" dxfId="37" priority="1" operator="containsText" text="OK">
      <formula>NOT(ISERROR(SEARCH("OK",B2)))</formula>
    </cfRule>
    <cfRule type="containsText" dxfId="36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8D10-C849-4D73-A67F-48B4A0AAAB96}">
  <sheetPr>
    <tabColor rgb="FF00B0F0"/>
  </sheetPr>
  <dimension ref="A1:I49"/>
  <sheetViews>
    <sheetView topLeftCell="B1" workbookViewId="0">
      <selection activeCell="M11" sqref="M11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Table1567[[#This Row],[Full Name]]</f>
        <v>POTTER, Tom</v>
      </c>
      <c r="B2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2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30</v>
      </c>
      <c r="D2" s="7">
        <f>IF(Table1567[[#This Row],[Category]]="","",IF(Table1567[[#This Row],[Category]]="M",COUNTIF($I$2:$I2,"M"),IF(Table1567[[#This Row],[Category]]="F",COUNTIF($I$2:$I2,"F"),0)))</f>
        <v>1</v>
      </c>
      <c r="E2" s="34">
        <v>2</v>
      </c>
      <c r="F2" s="56">
        <v>1.9074074074074073E-2</v>
      </c>
      <c r="G2" s="36" t="s">
        <v>224</v>
      </c>
      <c r="H2" s="36" t="s">
        <v>64</v>
      </c>
      <c r="I2" s="37" t="s">
        <v>146</v>
      </c>
    </row>
    <row r="3" spans="1:9" x14ac:dyDescent="0.25">
      <c r="A3" s="26" t="str">
        <f>Table1567[[#This Row],[Full Name]]</f>
        <v>SIDANI, Ramzi</v>
      </c>
      <c r="B3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3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29</v>
      </c>
      <c r="D3" s="7">
        <f>IF(Table1567[[#This Row],[Category]]="","",IF(Table1567[[#This Row],[Category]]="M",COUNTIF($I$2:$I3,"M"),IF(Table1567[[#This Row],[Category]]="F",COUNTIF($I$2:$I3,"F"),0)))</f>
        <v>2</v>
      </c>
      <c r="E3" s="34">
        <v>10</v>
      </c>
      <c r="F3" s="56">
        <v>2.1874999999999999E-2</v>
      </c>
      <c r="G3" s="36" t="s">
        <v>225</v>
      </c>
      <c r="H3" s="36" t="s">
        <v>1</v>
      </c>
      <c r="I3" s="37" t="s">
        <v>146</v>
      </c>
    </row>
    <row r="4" spans="1:9" x14ac:dyDescent="0.25">
      <c r="A4" s="26" t="str">
        <f>Table1567[[#This Row],[Full Name]]</f>
        <v>DUNNING, Phil</v>
      </c>
      <c r="B4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4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28</v>
      </c>
      <c r="D4" s="7">
        <f>IF(Table1567[[#This Row],[Category]]="","",IF(Table1567[[#This Row],[Category]]="M",COUNTIF($I$2:$I4,"M"),IF(Table1567[[#This Row],[Category]]="F",COUNTIF($I$2:$I4,"F"),0)))</f>
        <v>3</v>
      </c>
      <c r="E4" s="34">
        <v>16</v>
      </c>
      <c r="F4" s="56">
        <v>2.2418981481481481E-2</v>
      </c>
      <c r="G4" s="36" t="s">
        <v>226</v>
      </c>
      <c r="H4" s="36" t="s">
        <v>227</v>
      </c>
      <c r="I4" s="37" t="s">
        <v>146</v>
      </c>
    </row>
    <row r="5" spans="1:9" x14ac:dyDescent="0.25">
      <c r="A5" s="26" t="str">
        <f>Table1567[[#This Row],[Full Name]]</f>
        <v>COULTON, Shaun</v>
      </c>
      <c r="B5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5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27</v>
      </c>
      <c r="D5" s="7">
        <f>IF(Table1567[[#This Row],[Category]]="","",IF(Table1567[[#This Row],[Category]]="M",COUNTIF($I$2:$I5,"M"),IF(Table1567[[#This Row],[Category]]="F",COUNTIF($I$2:$I5,"F"),0)))</f>
        <v>4</v>
      </c>
      <c r="E5" s="34">
        <v>17</v>
      </c>
      <c r="F5" s="56">
        <v>2.255787037037037E-2</v>
      </c>
      <c r="G5" s="36" t="s">
        <v>228</v>
      </c>
      <c r="H5" s="36" t="s">
        <v>45</v>
      </c>
      <c r="I5" s="37" t="s">
        <v>146</v>
      </c>
    </row>
    <row r="6" spans="1:9" x14ac:dyDescent="0.25">
      <c r="A6" s="26" t="str">
        <f>Table1567[[#This Row],[Full Name]]</f>
        <v>WIDEMAN, Emily</v>
      </c>
      <c r="B6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6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30</v>
      </c>
      <c r="D6" s="7">
        <f>IF(Table1567[[#This Row],[Category]]="","",IF(Table1567[[#This Row],[Category]]="M",COUNTIF($I$2:$I6,"M"),IF(Table1567[[#This Row],[Category]]="F",COUNTIF($I$2:$I6,"F"),0)))</f>
        <v>1</v>
      </c>
      <c r="E6" s="34">
        <v>28</v>
      </c>
      <c r="F6" s="56">
        <v>2.3634259259259258E-2</v>
      </c>
      <c r="G6" s="36" t="s">
        <v>229</v>
      </c>
      <c r="H6" s="36" t="s">
        <v>38</v>
      </c>
      <c r="I6" s="37" t="s">
        <v>156</v>
      </c>
    </row>
    <row r="7" spans="1:9" x14ac:dyDescent="0.25">
      <c r="A7" s="26" t="str">
        <f>Table1567[[#This Row],[Full Name]]</f>
        <v>BARNES, Louis</v>
      </c>
      <c r="B7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7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26</v>
      </c>
      <c r="D7" s="7">
        <f>IF(Table1567[[#This Row],[Category]]="","",IF(Table1567[[#This Row],[Category]]="M",COUNTIF($I$2:$I7,"M"),IF(Table1567[[#This Row],[Category]]="F",COUNTIF($I$2:$I7,"F"),0)))</f>
        <v>5</v>
      </c>
      <c r="E7" s="34">
        <v>36</v>
      </c>
      <c r="F7" s="56">
        <v>2.4456018518518519E-2</v>
      </c>
      <c r="G7" s="36" t="s">
        <v>230</v>
      </c>
      <c r="H7" s="36" t="s">
        <v>4</v>
      </c>
      <c r="I7" s="37" t="s">
        <v>146</v>
      </c>
    </row>
    <row r="8" spans="1:9" x14ac:dyDescent="0.25">
      <c r="A8" s="26" t="str">
        <f>Table1567[[#This Row],[Full Name]]</f>
        <v>GILES, George</v>
      </c>
      <c r="B8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8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25</v>
      </c>
      <c r="D8" s="7">
        <f>IF(Table1567[[#This Row],[Category]]="","",IF(Table1567[[#This Row],[Category]]="M",COUNTIF($I$2:$I8,"M"),IF(Table1567[[#This Row],[Category]]="F",COUNTIF($I$2:$I8,"F"),0)))</f>
        <v>6</v>
      </c>
      <c r="E8" s="34">
        <v>38</v>
      </c>
      <c r="F8" s="56">
        <v>2.4895833333333332E-2</v>
      </c>
      <c r="G8" s="36" t="s">
        <v>231</v>
      </c>
      <c r="H8" s="36" t="s">
        <v>128</v>
      </c>
      <c r="I8" s="37" t="s">
        <v>146</v>
      </c>
    </row>
    <row r="9" spans="1:9" x14ac:dyDescent="0.25">
      <c r="A9" s="26" t="str">
        <f>Table1567[[#This Row],[Full Name]]</f>
        <v>HOUGH, Andy</v>
      </c>
      <c r="B9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9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24</v>
      </c>
      <c r="D9" s="7">
        <f>IF(Table1567[[#This Row],[Category]]="","",IF(Table1567[[#This Row],[Category]]="M",COUNTIF($I$2:$I9,"M"),IF(Table1567[[#This Row],[Category]]="F",COUNTIF($I$2:$I9,"F"),0)))</f>
        <v>7</v>
      </c>
      <c r="E9" s="34">
        <v>49</v>
      </c>
      <c r="F9" s="56">
        <v>2.5925925925925925E-2</v>
      </c>
      <c r="G9" s="36" t="s">
        <v>145</v>
      </c>
      <c r="H9" s="36" t="s">
        <v>107</v>
      </c>
      <c r="I9" s="37" t="s">
        <v>146</v>
      </c>
    </row>
    <row r="10" spans="1:9" x14ac:dyDescent="0.25">
      <c r="A10" s="26" t="str">
        <f>Table1567[[#This Row],[Full Name]]</f>
        <v>MONAGHAN, Amelia</v>
      </c>
      <c r="B10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0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29</v>
      </c>
      <c r="D10" s="7">
        <f>IF(Table1567[[#This Row],[Category]]="","",IF(Table1567[[#This Row],[Category]]="M",COUNTIF($I$2:$I10,"M"),IF(Table1567[[#This Row],[Category]]="F",COUNTIF($I$2:$I10,"F"),0)))</f>
        <v>2</v>
      </c>
      <c r="E10" s="34">
        <v>58</v>
      </c>
      <c r="F10" s="56">
        <v>2.6666666666666668E-2</v>
      </c>
      <c r="G10" s="36" t="s">
        <v>196</v>
      </c>
      <c r="H10" s="36" t="s">
        <v>93</v>
      </c>
      <c r="I10" s="37" t="s">
        <v>156</v>
      </c>
    </row>
    <row r="11" spans="1:9" x14ac:dyDescent="0.25">
      <c r="A11" s="26" t="str">
        <f>Table1567[[#This Row],[Full Name]]</f>
        <v>ALLSOP, Andrew</v>
      </c>
      <c r="B11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1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23</v>
      </c>
      <c r="D11" s="7">
        <f>IF(Table1567[[#This Row],[Category]]="","",IF(Table1567[[#This Row],[Category]]="M",COUNTIF($I$2:$I11,"M"),IF(Table1567[[#This Row],[Category]]="F",COUNTIF($I$2:$I11,"F"),0)))</f>
        <v>8</v>
      </c>
      <c r="E11" s="34">
        <v>59</v>
      </c>
      <c r="F11" s="56">
        <v>2.673611111111111E-2</v>
      </c>
      <c r="G11" s="36" t="s">
        <v>147</v>
      </c>
      <c r="H11" s="36" t="s">
        <v>177</v>
      </c>
      <c r="I11" s="37" t="s">
        <v>146</v>
      </c>
    </row>
    <row r="12" spans="1:9" x14ac:dyDescent="0.25">
      <c r="A12" s="26" t="str">
        <f>Table1567[[#This Row],[Full Name]]</f>
        <v>WOOD, Clare</v>
      </c>
      <c r="B12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2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28</v>
      </c>
      <c r="D12" s="7">
        <f>IF(Table1567[[#This Row],[Category]]="","",IF(Table1567[[#This Row],[Category]]="M",COUNTIF($I$2:$I12,"M"),IF(Table1567[[#This Row],[Category]]="F",COUNTIF($I$2:$I12,"F"),0)))</f>
        <v>3</v>
      </c>
      <c r="E12" s="34">
        <v>60</v>
      </c>
      <c r="F12" s="56">
        <v>2.6875E-2</v>
      </c>
      <c r="G12" s="36" t="s">
        <v>232</v>
      </c>
      <c r="H12" s="36" t="s">
        <v>100</v>
      </c>
      <c r="I12" s="37" t="s">
        <v>156</v>
      </c>
    </row>
    <row r="13" spans="1:9" x14ac:dyDescent="0.25">
      <c r="A13" s="26" t="str">
        <f>Table1567[[#This Row],[Full Name]]</f>
        <v>MCDERMOTT, Lucy</v>
      </c>
      <c r="B13" s="28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3" s="28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27</v>
      </c>
      <c r="D13" s="7">
        <f>IF(Table1567[[#This Row],[Category]]="","",IF(Table1567[[#This Row],[Category]]="M",COUNTIF($I$2:$I13,"M"),IF(Table1567[[#This Row],[Category]]="F",COUNTIF($I$2:$I13,"F"),0)))</f>
        <v>4</v>
      </c>
      <c r="E13" s="34">
        <v>69</v>
      </c>
      <c r="F13" s="56">
        <v>2.7557870370370371E-2</v>
      </c>
      <c r="G13" s="36" t="s">
        <v>233</v>
      </c>
      <c r="H13" s="36" t="s">
        <v>134</v>
      </c>
      <c r="I13" s="37" t="s">
        <v>156</v>
      </c>
    </row>
    <row r="14" spans="1:9" x14ac:dyDescent="0.25">
      <c r="A14" s="27" t="str">
        <f>Table1567[[#This Row],[Full Name]]</f>
        <v>LAWLESS, Sandra</v>
      </c>
      <c r="B14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4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26</v>
      </c>
      <c r="D14" s="7">
        <f>IF(Table1567[[#This Row],[Category]]="","",IF(Table1567[[#This Row],[Category]]="M",COUNTIF($I$2:$I14,"M"),IF(Table1567[[#This Row],[Category]]="F",COUNTIF($I$2:$I14,"F"),0)))</f>
        <v>5</v>
      </c>
      <c r="E14" s="38">
        <v>75</v>
      </c>
      <c r="F14" s="56">
        <v>2.8009259259259258E-2</v>
      </c>
      <c r="G14" s="40" t="s">
        <v>234</v>
      </c>
      <c r="H14" s="40" t="s">
        <v>66</v>
      </c>
      <c r="I14" s="41" t="s">
        <v>156</v>
      </c>
    </row>
    <row r="15" spans="1:9" x14ac:dyDescent="0.25">
      <c r="A15" s="27" t="str">
        <f>Table1567[[#This Row],[Full Name]]</f>
        <v>BOTTRILL, Andrew</v>
      </c>
      <c r="B15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5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22</v>
      </c>
      <c r="D15" s="7">
        <f>IF(Table1567[[#This Row],[Category]]="","",IF(Table1567[[#This Row],[Category]]="M",COUNTIF($I$2:$I15,"M"),IF(Table1567[[#This Row],[Category]]="F",COUNTIF($I$2:$I15,"F"),0)))</f>
        <v>9</v>
      </c>
      <c r="E15" s="34">
        <v>84</v>
      </c>
      <c r="F15" s="56">
        <v>2.8356481481481483E-2</v>
      </c>
      <c r="G15" s="36" t="s">
        <v>235</v>
      </c>
      <c r="H15" s="36" t="s">
        <v>30</v>
      </c>
      <c r="I15" s="37" t="s">
        <v>146</v>
      </c>
    </row>
    <row r="16" spans="1:9" x14ac:dyDescent="0.25">
      <c r="A16" s="27" t="str">
        <f>Table1567[[#This Row],[Full Name]]</f>
        <v>JEYES, Andrew</v>
      </c>
      <c r="B16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6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21</v>
      </c>
      <c r="D16" s="7">
        <f>IF(Table1567[[#This Row],[Category]]="","",IF(Table1567[[#This Row],[Category]]="M",COUNTIF($I$2:$I16,"M"),IF(Table1567[[#This Row],[Category]]="F",COUNTIF($I$2:$I16,"F"),0)))</f>
        <v>10</v>
      </c>
      <c r="E16" s="34">
        <v>85</v>
      </c>
      <c r="F16" s="56">
        <v>2.837962962962963E-2</v>
      </c>
      <c r="G16" s="36" t="s">
        <v>235</v>
      </c>
      <c r="H16" s="36" t="s">
        <v>29</v>
      </c>
      <c r="I16" s="37" t="s">
        <v>146</v>
      </c>
    </row>
    <row r="17" spans="1:9" x14ac:dyDescent="0.25">
      <c r="A17" s="27" t="str">
        <f>Table1567[[#This Row],[Full Name]]</f>
        <v>GRAVES, Laura</v>
      </c>
      <c r="B17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7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25</v>
      </c>
      <c r="D17" s="7">
        <f>IF(Table1567[[#This Row],[Category]]="","",IF(Table1567[[#This Row],[Category]]="M",COUNTIF($I$2:$I17,"M"),IF(Table1567[[#This Row],[Category]]="F",COUNTIF($I$2:$I17,"F"),0)))</f>
        <v>6</v>
      </c>
      <c r="E17" s="34">
        <v>88</v>
      </c>
      <c r="F17" s="56">
        <v>2.855324074074074E-2</v>
      </c>
      <c r="G17" s="36" t="s">
        <v>216</v>
      </c>
      <c r="H17" s="36" t="s">
        <v>13</v>
      </c>
      <c r="I17" s="37" t="s">
        <v>156</v>
      </c>
    </row>
    <row r="18" spans="1:9" x14ac:dyDescent="0.25">
      <c r="A18" s="27" t="str">
        <f>Table1567[[#This Row],[Full Name]]</f>
        <v>TILBURY, Lindsay</v>
      </c>
      <c r="B18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8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24</v>
      </c>
      <c r="D18" s="7">
        <f>IF(Table1567[[#This Row],[Category]]="","",IF(Table1567[[#This Row],[Category]]="M",COUNTIF($I$2:$I18,"M"),IF(Table1567[[#This Row],[Category]]="F",COUNTIF($I$2:$I18,"F"),0)))</f>
        <v>7</v>
      </c>
      <c r="E18" s="34">
        <v>94</v>
      </c>
      <c r="F18" s="56">
        <v>2.883101851851852E-2</v>
      </c>
      <c r="G18" s="36" t="s">
        <v>236</v>
      </c>
      <c r="H18" s="36" t="s">
        <v>75</v>
      </c>
      <c r="I18" s="37" t="s">
        <v>156</v>
      </c>
    </row>
    <row r="19" spans="1:9" x14ac:dyDescent="0.25">
      <c r="A19" s="27" t="str">
        <f>Table1567[[#This Row],[Full Name]]</f>
        <v>SIDANI, Bethany</v>
      </c>
      <c r="B19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19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23</v>
      </c>
      <c r="D19" s="7">
        <f>IF(Table1567[[#This Row],[Category]]="","",IF(Table1567[[#This Row],[Category]]="M",COUNTIF($I$2:$I19,"M"),IF(Table1567[[#This Row],[Category]]="F",COUNTIF($I$2:$I19,"F"),0)))</f>
        <v>8</v>
      </c>
      <c r="E19" s="34">
        <v>106</v>
      </c>
      <c r="F19" s="56">
        <v>2.9814814814814815E-2</v>
      </c>
      <c r="G19" s="36" t="s">
        <v>237</v>
      </c>
      <c r="H19" s="36" t="s">
        <v>238</v>
      </c>
      <c r="I19" s="37" t="s">
        <v>156</v>
      </c>
    </row>
    <row r="20" spans="1:9" x14ac:dyDescent="0.25">
      <c r="A20" s="27" t="str">
        <f>Table1567[[#This Row],[Full Name]]</f>
        <v>MUMMERY, Ismay</v>
      </c>
      <c r="B20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20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22</v>
      </c>
      <c r="D20" s="7">
        <f>IF(Table1567[[#This Row],[Category]]="","",IF(Table1567[[#This Row],[Category]]="M",COUNTIF($I$2:$I20,"M"),IF(Table1567[[#This Row],[Category]]="F",COUNTIF($I$2:$I20,"F"),0)))</f>
        <v>9</v>
      </c>
      <c r="E20" s="34">
        <v>123</v>
      </c>
      <c r="F20" s="56">
        <v>3.050925925925926E-2</v>
      </c>
      <c r="G20" s="36" t="s">
        <v>202</v>
      </c>
      <c r="H20" s="36" t="s">
        <v>168</v>
      </c>
      <c r="I20" s="37" t="s">
        <v>156</v>
      </c>
    </row>
    <row r="21" spans="1:9" x14ac:dyDescent="0.25">
      <c r="A21" s="27" t="str">
        <f>Table1567[[#This Row],[Full Name]]</f>
        <v>HEITMANN, Laura</v>
      </c>
      <c r="B21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21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21</v>
      </c>
      <c r="D21" s="7">
        <f>IF(Table1567[[#This Row],[Category]]="","",IF(Table1567[[#This Row],[Category]]="M",COUNTIF($I$2:$I21,"M"),IF(Table1567[[#This Row],[Category]]="F",COUNTIF($I$2:$I21,"F"),0)))</f>
        <v>10</v>
      </c>
      <c r="E21" s="34">
        <v>163</v>
      </c>
      <c r="F21" s="56">
        <v>3.3483796296296296E-2</v>
      </c>
      <c r="G21" s="36" t="s">
        <v>239</v>
      </c>
      <c r="H21" s="36" t="s">
        <v>240</v>
      </c>
      <c r="I21" s="37" t="s">
        <v>156</v>
      </c>
    </row>
    <row r="22" spans="1:9" x14ac:dyDescent="0.25">
      <c r="A22" s="27" t="str">
        <f>Table1567[[#This Row],[Full Name]]</f>
        <v>MALONE, Sarah</v>
      </c>
      <c r="B22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22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20</v>
      </c>
      <c r="D22" s="7">
        <f>IF(Table1567[[#This Row],[Category]]="","",IF(Table1567[[#This Row],[Category]]="M",COUNTIF($I$2:$I22,"M"),IF(Table1567[[#This Row],[Category]]="F",COUNTIF($I$2:$I22,"F"),0)))</f>
        <v>11</v>
      </c>
      <c r="E22" s="34">
        <v>165</v>
      </c>
      <c r="F22" s="56">
        <v>3.3750000000000002E-2</v>
      </c>
      <c r="G22" s="36" t="s">
        <v>179</v>
      </c>
      <c r="H22" s="36" t="s">
        <v>14</v>
      </c>
      <c r="I22" s="37" t="s">
        <v>156</v>
      </c>
    </row>
    <row r="23" spans="1:9" x14ac:dyDescent="0.25">
      <c r="A23" s="27" t="str">
        <f>Table1567[[#This Row],[Full Name]]</f>
        <v>JEYES, Sally</v>
      </c>
      <c r="B23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23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19</v>
      </c>
      <c r="D23" s="7">
        <f>IF(Table1567[[#This Row],[Category]]="","",IF(Table1567[[#This Row],[Category]]="M",COUNTIF($I$2:$I23,"M"),IF(Table1567[[#This Row],[Category]]="F",COUNTIF($I$2:$I23,"F"),0)))</f>
        <v>12</v>
      </c>
      <c r="E23" s="34">
        <v>168</v>
      </c>
      <c r="F23" s="56">
        <v>3.4143518518518517E-2</v>
      </c>
      <c r="G23" s="36" t="s">
        <v>241</v>
      </c>
      <c r="H23" s="36" t="s">
        <v>32</v>
      </c>
      <c r="I23" s="37" t="s">
        <v>156</v>
      </c>
    </row>
    <row r="24" spans="1:9" x14ac:dyDescent="0.25">
      <c r="A24" s="27" t="str">
        <f>Table1567[[#This Row],[Full Name]]</f>
        <v>ALLSOP, Lucy</v>
      </c>
      <c r="B24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24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18</v>
      </c>
      <c r="D24" s="7">
        <f>IF(Table1567[[#This Row],[Category]]="","",IF(Table1567[[#This Row],[Category]]="M",COUNTIF($I$2:$I24,"M"),IF(Table1567[[#This Row],[Category]]="F",COUNTIF($I$2:$I24,"F"),0)))</f>
        <v>13</v>
      </c>
      <c r="E24" s="34">
        <v>174</v>
      </c>
      <c r="F24" s="56">
        <v>3.4652777777777775E-2</v>
      </c>
      <c r="G24" s="36" t="s">
        <v>242</v>
      </c>
      <c r="H24" s="36" t="s">
        <v>43</v>
      </c>
      <c r="I24" s="37" t="s">
        <v>156</v>
      </c>
    </row>
    <row r="25" spans="1:9" x14ac:dyDescent="0.25">
      <c r="A25" s="27" t="str">
        <f>Table1567[[#This Row],[Full Name]]</f>
        <v>ATKINSON, Matt</v>
      </c>
      <c r="B25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>OK</v>
      </c>
      <c r="C25" s="29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>20</v>
      </c>
      <c r="D25" s="7">
        <f>IF(Table1567[[#This Row],[Category]]="","",IF(Table1567[[#This Row],[Category]]="M",COUNTIF($I$2:$I25,"M"),IF(Table1567[[#This Row],[Category]]="F",COUNTIF($I$2:$I25,"F"),0)))</f>
        <v>11</v>
      </c>
      <c r="E25" s="34">
        <v>175</v>
      </c>
      <c r="F25" s="56">
        <v>3.4768518518518518E-2</v>
      </c>
      <c r="G25" s="36" t="s">
        <v>243</v>
      </c>
      <c r="H25" s="36" t="s">
        <v>244</v>
      </c>
      <c r="I25" s="37" t="s">
        <v>146</v>
      </c>
    </row>
    <row r="26" spans="1:9" x14ac:dyDescent="0.25">
      <c r="A26" s="27">
        <f>Table1567[[#This Row],[Full Name]]</f>
        <v>0</v>
      </c>
      <c r="B26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6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6" s="7" t="str">
        <f>IF(Table1567[[#This Row],[Category]]="","",IF(Table1567[[#This Row],[Category]]="M",COUNTIF($I$2:$I26,"M"),IF(Table1567[[#This Row],[Category]]="F",COUNTIF($I$2:$I26,"F"),0)))</f>
        <v/>
      </c>
      <c r="E26" s="34"/>
      <c r="F26" s="56"/>
      <c r="G26" s="36"/>
      <c r="H26" s="36"/>
      <c r="I26" s="37"/>
    </row>
    <row r="27" spans="1:9" x14ac:dyDescent="0.25">
      <c r="A27" s="27">
        <f>Table1567[[#This Row],[Full Name]]</f>
        <v>0</v>
      </c>
      <c r="B27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7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7" s="7" t="str">
        <f>IF(Table1567[[#This Row],[Category]]="","",IF(Table1567[[#This Row],[Category]]="M",COUNTIF($I$2:$I27,"M"),IF(Table1567[[#This Row],[Category]]="F",COUNTIF($I$2:$I27,"F"),0)))</f>
        <v/>
      </c>
      <c r="E27" s="34"/>
      <c r="F27" s="56"/>
      <c r="G27" s="36"/>
      <c r="H27" s="36"/>
      <c r="I27" s="37"/>
    </row>
    <row r="28" spans="1:9" x14ac:dyDescent="0.25">
      <c r="A28" s="27">
        <f>Table1567[[#This Row],[Full Name]]</f>
        <v>0</v>
      </c>
      <c r="B28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8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8" s="7" t="str">
        <f>IF(Table1567[[#This Row],[Category]]="","",IF(Table1567[[#This Row],[Category]]="M",COUNTIF($I$2:$I28,"M"),IF(Table1567[[#This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Table1567[[#This Row],[Full Name]]</f>
        <v>0</v>
      </c>
      <c r="B29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29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29" s="7" t="str">
        <f>IF(Table1567[[#This Row],[Category]]="","",IF(Table1567[[#This Row],[Category]]="M",COUNTIF($I$2:$I29,"M"),IF(Table1567[[#This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Table1567[[#This Row],[Full Name]]</f>
        <v>0</v>
      </c>
      <c r="B30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0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0" s="7" t="str">
        <f>IF(Table1567[[#This Row],[Category]]="","",IF(Table1567[[#This Row],[Category]]="M",COUNTIF($I$2:$I30,"M"),IF(Table1567[[#This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Table1567[[#This Row],[Full Name]]</f>
        <v>0</v>
      </c>
      <c r="B31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1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1" s="7" t="str">
        <f>IF(Table1567[[#This Row],[Category]]="","",IF(Table1567[[#This Row],[Category]]="M",COUNTIF($I$2:$I31,"M"),IF(Table1567[[#This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Table1567[[#This Row],[Full Name]]</f>
        <v>0</v>
      </c>
      <c r="B32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2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2" s="7" t="str">
        <f>IF(Table1567[[#This Row],[Category]]="","",IF(Table1567[[#This Row],[Category]]="M",COUNTIF($I$2:$I32,"M"),IF(Table1567[[#This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Table1567[[#This Row],[Full Name]]</f>
        <v>0</v>
      </c>
      <c r="B33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3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3" s="7" t="str">
        <f>IF(Table1567[[#This Row],[Category]]="","",IF(Table1567[[#This Row],[Category]]="M",COUNTIF($I$2:$I33,"M"),IF(Table1567[[#This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Table1567[[#This Row],[Full Name]]</f>
        <v>0</v>
      </c>
      <c r="B34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4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4" s="7" t="str">
        <f>IF(Table1567[[#This Row],[Category]]="","",IF(Table1567[[#This Row],[Category]]="M",COUNTIF($I$2:$I34,"M"),IF(Table1567[[#This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Table1567[[#This Row],[Full Name]]</f>
        <v>0</v>
      </c>
      <c r="B35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5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5" s="7" t="str">
        <f>IF(Table1567[[#This Row],[Category]]="","",IF(Table1567[[#This Row],[Category]]="M",COUNTIF($I$2:$I35,"M"),IF(Table1567[[#This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Table1567[[#This Row],[Full Name]]</f>
        <v>0</v>
      </c>
      <c r="B36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6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6" s="7" t="str">
        <f>IF(Table1567[[#This Row],[Category]]="","",IF(Table1567[[#This Row],[Category]]="M",COUNTIF($I$2:$I36,"M"),IF(Table1567[[#This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Table1567[[#This Row],[Full Name]]</f>
        <v>0</v>
      </c>
      <c r="B37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7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7" s="7" t="str">
        <f>IF(Table1567[[#This Row],[Category]]="","",IF(Table1567[[#This Row],[Category]]="M",COUNTIF($I$2:$I37,"M"),IF(Table1567[[#This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Table1567[[#This Row],[Full Name]]</f>
        <v>0</v>
      </c>
      <c r="B38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8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8" s="7" t="str">
        <f>IF(Table1567[[#This Row],[Category]]="","",IF(Table1567[[#This Row],[Category]]="M",COUNTIF($I$2:$I38,"M"),IF(Table1567[[#This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Table1567[[#This Row],[Full Name]]</f>
        <v>0</v>
      </c>
      <c r="B39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39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39" s="7" t="str">
        <f>IF(Table1567[[#This Row],[Category]]="","",IF(Table1567[[#This Row],[Category]]="M",COUNTIF($I$2:$I39,"M"),IF(Table1567[[#This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Table1567[[#This Row],[Full Name]]</f>
        <v>0</v>
      </c>
      <c r="B40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0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0" s="7" t="str">
        <f>IF(Table1567[[#This Row],[Category]]="","",IF(Table1567[[#This Row],[Category]]="M",COUNTIF($I$2:$I40,"M"),IF(Table1567[[#This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Table1567[[#This Row],[Full Name]]</f>
        <v>0</v>
      </c>
      <c r="B41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1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1" s="7" t="str">
        <f>IF(Table1567[[#This Row],[Category]]="","",IF(Table1567[[#This Row],[Category]]="M",COUNTIF($I$2:$I41,"M"),IF(Table1567[[#This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Table1567[[#This Row],[Full Name]]</f>
        <v>0</v>
      </c>
      <c r="B42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2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2" s="7" t="str">
        <f>IF(Table1567[[#This Row],[Category]]="","",IF(Table1567[[#This Row],[Category]]="M",COUNTIF($I$2:$I42,"M"),IF(Table1567[[#This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Table1567[[#This Row],[Full Name]]</f>
        <v>0</v>
      </c>
      <c r="B43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3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3" s="7" t="str">
        <f>IF(Table1567[[#This Row],[Category]]="","",IF(Table1567[[#This Row],[Category]]="M",COUNTIF($I$2:$I43,"M"),IF(Table1567[[#This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Table1567[[#This Row],[Full Name]]</f>
        <v>0</v>
      </c>
      <c r="B44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4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4" s="7" t="str">
        <f>IF(Table1567[[#This Row],[Category]]="","",IF(Table1567[[#This Row],[Category]]="M",COUNTIF($I$2:$I44,"M"),IF(Table1567[[#This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Table1567[[#This Row],[Full Name]]</f>
        <v>0</v>
      </c>
      <c r="B45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5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5" s="7" t="str">
        <f>IF(Table1567[[#This Row],[Category]]="","",IF(Table1567[[#This Row],[Category]]="M",COUNTIF($I$2:$I45,"M"),IF(Table1567[[#This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Table1567[[#This Row],[Full Name]]</f>
        <v>0</v>
      </c>
      <c r="B46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6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6" s="7" t="str">
        <f>IF(Table1567[[#This Row],[Category]]="","",IF(Table1567[[#This Row],[Category]]="M",COUNTIF($I$2:$I46,"M"),IF(Table1567[[#This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Table1567[[#This Row],[Full Name]]</f>
        <v>0</v>
      </c>
      <c r="B47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7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7" s="7" t="str">
        <f>IF(Table1567[[#This Row],[Category]]="","",IF(Table1567[[#This Row],[Category]]="M",COUNTIF($I$2:$I47,"M"),IF(Table1567[[#This Row],[Category]]="F",COUNTIF($I$2:$I47,"F"),0)))</f>
        <v/>
      </c>
      <c r="E47" s="34"/>
      <c r="F47" s="56"/>
      <c r="G47" s="36"/>
      <c r="H47" s="36"/>
      <c r="I47" s="37"/>
    </row>
    <row r="48" spans="1:9" x14ac:dyDescent="0.25">
      <c r="A48" s="27">
        <f>Table1567[[#This Row],[Full Name]]</f>
        <v>0</v>
      </c>
      <c r="B48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8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8" s="7" t="str">
        <f>IF(Table1567[[#This Row],[Category]]="","",IF(Table1567[[#This Row],[Category]]="M",COUNTIF($I$2:$I48,"M"),IF(Table1567[[#This Row],[Category]]="F",COUNTIF($I$2:$I48,"F"),0)))</f>
        <v/>
      </c>
      <c r="E48" s="34"/>
      <c r="F48" s="56"/>
      <c r="G48" s="36"/>
      <c r="H48" s="36"/>
      <c r="I48" s="37"/>
    </row>
    <row r="49" spans="1:9" x14ac:dyDescent="0.25">
      <c r="A49" s="27">
        <f>Table1567[[#This Row],[Full Name]]</f>
        <v>0</v>
      </c>
      <c r="B49" s="29" t="str">
        <f>IF(Table1567[[#This Row],[Full Name]]="","",IF(IFERROR(IFERROR(VLOOKUP(Table1567[[#This Row],[Full Name]],'Mens League'!B:B,1,FALSE),VLOOKUP(Table1567[[#This Row],[Full Name]],'Women''s League'!B:B,1,FALSE)),"NEEDS ADDING")="NEEDS ADDING","NEEDS ADDING","OK"))</f>
        <v/>
      </c>
      <c r="C49" s="29" t="str">
        <f>IF(Table1567[[#This Row],[Position]]="","",IF(Table1567[[#This Row],[Rank]]=1,30,IF(Table1567[[#This Row],[Rank]]=2,29,IF(Table1567[[#This Row],[Rank]]=3,28,IF(Table1567[[#This Row],[Rank]]=4,27,IF(Table1567[[#This Row],[Rank]]=5,26,IF(Table1567[[#This Row],[Rank]]=6,25,IF(Table1567[[#This Row],[Rank]]=7,24,IF(Table1567[[#This Row],[Rank]]=8,23,IF(Table1567[[#This Row],[Rank]]=9,22,IF(Table1567[[#This Row],[Rank]]=10,21,IF(Table1567[[#This Row],[Rank]]=11,20,IF(Table1567[[#This Row],[Rank]]=12,19,IF(Table1567[[#This Row],[Rank]]=13,18,IF(Table1567[[#This Row],[Rank]]=14,17,IF(Table1567[[#This Row],[Rank]]=15,16,IF(Table1567[[#This Row],[Rank]]=16,15,IF(Table1567[[#This Row],[Rank]]=17,14,IF(Table1567[[#This Row],[Rank]]=18,13,IF(Table1567[[#This Row],[Rank]]=19,12,IF(Table1567[[#This Row],[Rank]]=20,11,IF(Table1567[[#This Row],[Rank]]=21,10,IF(Table1567[[#This Row],[Rank]]=22,9,IF(Table1567[[#This Row],[Rank]]=23,8,IF(Table1567[[#This Row],[Rank]]=24,7,IF(Table1567[[#This Row],[Rank]]=25,6,IF(Table1567[[#This Row],[Rank]]=26,5,IF(Table1567[[#This Row],[Rank]]=27,4,IF(Table1567[[#This Row],[Rank]]=28,3,IF(Table1567[[#This Row],[Rank]]=29,2,IF(Table1567[[#This Row],[Rank]]=30,1,0)))))))))))))))))))))))))))))))</f>
        <v/>
      </c>
      <c r="D49" s="7" t="str">
        <f>IF(Table1567[[#This Row],[Category]]="","",IF(Table1567[[#This Row],[Category]]="M",COUNTIF($I$2:$I49,"M"),IF(Table1567[[#This Row],[Category]]="F",COUNTIF($I$2:$I49,"F"),0)))</f>
        <v/>
      </c>
      <c r="E49" s="34"/>
      <c r="F49" s="56"/>
      <c r="G49" s="36"/>
      <c r="H49" s="36"/>
      <c r="I49" s="37"/>
    </row>
  </sheetData>
  <phoneticPr fontId="11" type="noConversion"/>
  <conditionalFormatting sqref="B2:B49">
    <cfRule type="containsText" dxfId="35" priority="1" operator="containsText" text="OK">
      <formula>NOT(ISERROR(SEARCH("OK",B2)))</formula>
    </cfRule>
    <cfRule type="containsText" dxfId="34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7FBC-3807-474B-ACE7-98A530141063}">
  <sheetPr>
    <tabColor rgb="FF00B0F0"/>
  </sheetPr>
  <dimension ref="A1:I48"/>
  <sheetViews>
    <sheetView topLeftCell="B1" workbookViewId="0">
      <selection activeCell="H13" sqref="H13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Table125[[#This Row],[Full Name]]</f>
        <v>BRADFORD, Mark</v>
      </c>
      <c r="B2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2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30</v>
      </c>
      <c r="D2" s="7">
        <f>IF(Table125[[#This Row],[Category]]="","",IF(Table125[[#This Row],[Category]]="M",COUNTIF($I$2:$I2,"M"),IF(Table125[[#This Row],[Category]]="F",COUNTIF($I$2:$I2,"F"),0)))</f>
        <v>1</v>
      </c>
      <c r="E2" s="34">
        <v>181</v>
      </c>
      <c r="F2" s="56">
        <v>3.7499999999999999E-2</v>
      </c>
      <c r="G2" s="36" t="s">
        <v>147</v>
      </c>
      <c r="H2" s="36" t="s">
        <v>7</v>
      </c>
      <c r="I2" s="37" t="s">
        <v>146</v>
      </c>
    </row>
    <row r="3" spans="1:9" x14ac:dyDescent="0.25">
      <c r="A3" s="26" t="str">
        <f>Table125[[#This Row],[Full Name]]</f>
        <v>ASHTON, Mindy</v>
      </c>
      <c r="B3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3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30</v>
      </c>
      <c r="D3" s="7">
        <f>IF(Table125[[#This Row],[Category]]="","",IF(Table125[[#This Row],[Category]]="M",COUNTIF($I$2:$I3,"M"),IF(Table125[[#This Row],[Category]]="F",COUNTIF($I$2:$I3,"F"),0)))</f>
        <v>1</v>
      </c>
      <c r="E3" s="34">
        <v>186</v>
      </c>
      <c r="F3" s="56">
        <v>3.7557870370370373E-2</v>
      </c>
      <c r="G3" s="36" t="s">
        <v>197</v>
      </c>
      <c r="H3" s="36" t="s">
        <v>52</v>
      </c>
      <c r="I3" s="37" t="s">
        <v>156</v>
      </c>
    </row>
    <row r="4" spans="1:9" x14ac:dyDescent="0.25">
      <c r="A4" s="26" t="str">
        <f>Table125[[#This Row],[Full Name]]</f>
        <v>BLAND, Damon</v>
      </c>
      <c r="B4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4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29</v>
      </c>
      <c r="D4" s="7">
        <f>IF(Table125[[#This Row],[Category]]="","",IF(Table125[[#This Row],[Category]]="M",COUNTIF($I$2:$I4,"M"),IF(Table125[[#This Row],[Category]]="F",COUNTIF($I$2:$I4,"F"),0)))</f>
        <v>2</v>
      </c>
      <c r="E4" s="34">
        <v>190</v>
      </c>
      <c r="F4" s="56">
        <v>3.7743055555555557E-2</v>
      </c>
      <c r="G4" s="36" t="s">
        <v>245</v>
      </c>
      <c r="H4" s="36" t="s">
        <v>9</v>
      </c>
      <c r="I4" s="37" t="s">
        <v>146</v>
      </c>
    </row>
    <row r="5" spans="1:9" x14ac:dyDescent="0.25">
      <c r="A5" s="26" t="str">
        <f>Table125[[#This Row],[Full Name]]</f>
        <v>SMITH, Victoria</v>
      </c>
      <c r="B5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5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29</v>
      </c>
      <c r="D5" s="7">
        <f>IF(Table125[[#This Row],[Category]]="","",IF(Table125[[#This Row],[Category]]="M",COUNTIF($I$2:$I5,"M"),IF(Table125[[#This Row],[Category]]="F",COUNTIF($I$2:$I5,"F"),0)))</f>
        <v>2</v>
      </c>
      <c r="E5" s="34">
        <v>206</v>
      </c>
      <c r="F5" s="56">
        <v>3.8275462962962963E-2</v>
      </c>
      <c r="G5" s="36" t="s">
        <v>246</v>
      </c>
      <c r="H5" s="36" t="s">
        <v>41</v>
      </c>
      <c r="I5" s="37" t="s">
        <v>156</v>
      </c>
    </row>
    <row r="6" spans="1:9" x14ac:dyDescent="0.25">
      <c r="A6" s="26" t="str">
        <f>Table125[[#This Row],[Full Name]]</f>
        <v>FOWLER, Adrian</v>
      </c>
      <c r="B6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6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28</v>
      </c>
      <c r="D6" s="7">
        <f>IF(Table125[[#This Row],[Category]]="","",IF(Table125[[#This Row],[Category]]="M",COUNTIF($I$2:$I6,"M"),IF(Table125[[#This Row],[Category]]="F",COUNTIF($I$2:$I6,"F"),0)))</f>
        <v>3</v>
      </c>
      <c r="E6" s="34">
        <v>226</v>
      </c>
      <c r="F6" s="56">
        <v>3.9282407407407405E-2</v>
      </c>
      <c r="G6" s="36" t="s">
        <v>234</v>
      </c>
      <c r="H6" s="36" t="s">
        <v>106</v>
      </c>
      <c r="I6" s="37" t="s">
        <v>146</v>
      </c>
    </row>
    <row r="7" spans="1:9" x14ac:dyDescent="0.25">
      <c r="A7" s="26" t="str">
        <f>Table125[[#This Row],[Full Name]]</f>
        <v>JOYCE, Matthew</v>
      </c>
      <c r="B7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7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27</v>
      </c>
      <c r="D7" s="7">
        <f>IF(Table125[[#This Row],[Category]]="","",IF(Table125[[#This Row],[Category]]="M",COUNTIF($I$2:$I7,"M"),IF(Table125[[#This Row],[Category]]="F",COUNTIF($I$2:$I7,"F"),0)))</f>
        <v>4</v>
      </c>
      <c r="E7" s="34">
        <v>239</v>
      </c>
      <c r="F7" s="56">
        <v>3.9270833333333331E-2</v>
      </c>
      <c r="G7" s="36" t="s">
        <v>234</v>
      </c>
      <c r="H7" s="36" t="s">
        <v>57</v>
      </c>
      <c r="I7" s="37" t="s">
        <v>146</v>
      </c>
    </row>
    <row r="8" spans="1:9" x14ac:dyDescent="0.25">
      <c r="A8" s="26" t="str">
        <f>Table125[[#This Row],[Full Name]]</f>
        <v>GRAVES, Laura</v>
      </c>
      <c r="B8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8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28</v>
      </c>
      <c r="D8" s="7">
        <f>IF(Table125[[#This Row],[Category]]="","",IF(Table125[[#This Row],[Category]]="M",COUNTIF($I$2:$I8,"M"),IF(Table125[[#This Row],[Category]]="F",COUNTIF($I$2:$I8,"F"),0)))</f>
        <v>3</v>
      </c>
      <c r="E8" s="34">
        <v>240</v>
      </c>
      <c r="F8" s="56">
        <v>3.9594907407407405E-2</v>
      </c>
      <c r="G8" s="36" t="s">
        <v>199</v>
      </c>
      <c r="H8" s="36" t="s">
        <v>13</v>
      </c>
      <c r="I8" s="37" t="s">
        <v>156</v>
      </c>
    </row>
    <row r="9" spans="1:9" x14ac:dyDescent="0.25">
      <c r="A9" s="26" t="str">
        <f>Table125[[#This Row],[Full Name]]</f>
        <v>AVERILLO, Paul</v>
      </c>
      <c r="B9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9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26</v>
      </c>
      <c r="D9" s="7">
        <f>IF(Table125[[#This Row],[Category]]="","",IF(Table125[[#This Row],[Category]]="M",COUNTIF($I$2:$I9,"M"),IF(Table125[[#This Row],[Category]]="F",COUNTIF($I$2:$I9,"F"),0)))</f>
        <v>5</v>
      </c>
      <c r="E9" s="34">
        <v>283</v>
      </c>
      <c r="F9" s="56">
        <v>4.1342592592592591E-2</v>
      </c>
      <c r="G9" s="36" t="s">
        <v>174</v>
      </c>
      <c r="H9" s="36" t="s">
        <v>54</v>
      </c>
      <c r="I9" s="37" t="s">
        <v>146</v>
      </c>
    </row>
    <row r="10" spans="1:9" x14ac:dyDescent="0.25">
      <c r="A10" s="26" t="str">
        <f>Table125[[#This Row],[Full Name]]</f>
        <v>MUMMERY, Ismay</v>
      </c>
      <c r="B10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10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27</v>
      </c>
      <c r="D10" s="7">
        <f>IF(Table125[[#This Row],[Category]]="","",IF(Table125[[#This Row],[Category]]="M",COUNTIF($I$2:$I10,"M"),IF(Table125[[#This Row],[Category]]="F",COUNTIF($I$2:$I10,"F"),0)))</f>
        <v>4</v>
      </c>
      <c r="E10" s="34">
        <v>306</v>
      </c>
      <c r="F10" s="56">
        <v>4.2453703703703702E-2</v>
      </c>
      <c r="G10" s="36" t="s">
        <v>247</v>
      </c>
      <c r="H10" s="36" t="s">
        <v>168</v>
      </c>
      <c r="I10" s="37" t="s">
        <v>156</v>
      </c>
    </row>
    <row r="11" spans="1:9" x14ac:dyDescent="0.25">
      <c r="A11" s="26" t="str">
        <f>Table125[[#This Row],[Full Name]]</f>
        <v>POWDRILL, Neil</v>
      </c>
      <c r="B11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11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25</v>
      </c>
      <c r="D11" s="7">
        <f>IF(Table125[[#This Row],[Category]]="","",IF(Table125[[#This Row],[Category]]="M",COUNTIF($I$2:$I11,"M"),IF(Table125[[#This Row],[Category]]="F",COUNTIF($I$2:$I11,"F"),0)))</f>
        <v>6</v>
      </c>
      <c r="E11" s="34">
        <v>331</v>
      </c>
      <c r="F11" s="56">
        <v>4.327546296296296E-2</v>
      </c>
      <c r="G11" s="36" t="s">
        <v>248</v>
      </c>
      <c r="H11" s="36" t="s">
        <v>222</v>
      </c>
      <c r="I11" s="37" t="s">
        <v>146</v>
      </c>
    </row>
    <row r="12" spans="1:9" x14ac:dyDescent="0.25">
      <c r="A12" s="26" t="str">
        <f>Table125[[#This Row],[Full Name]]</f>
        <v>HENFREY, Julie</v>
      </c>
      <c r="B12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>OK</v>
      </c>
      <c r="C12" s="28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>26</v>
      </c>
      <c r="D12" s="7">
        <f>IF(Table125[[#This Row],[Category]]="","",IF(Table125[[#This Row],[Category]]="M",COUNTIF($I$2:$I12,"M"),IF(Table125[[#This Row],[Category]]="F",COUNTIF($I$2:$I12,"F"),0)))</f>
        <v>5</v>
      </c>
      <c r="E12" s="34">
        <v>488</v>
      </c>
      <c r="F12" s="56">
        <v>7.2372685185185179E-2</v>
      </c>
      <c r="G12" s="36" t="s">
        <v>249</v>
      </c>
      <c r="H12" s="36" t="s">
        <v>16</v>
      </c>
      <c r="I12" s="37" t="s">
        <v>156</v>
      </c>
    </row>
    <row r="13" spans="1:9" x14ac:dyDescent="0.25">
      <c r="A13" s="26">
        <f>Table125[[#This Row],[Full Name]]</f>
        <v>0</v>
      </c>
      <c r="B13" s="28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3" s="28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3" s="7" t="str">
        <f>IF(Table125[[#This Row],[Category]]="","",IF(Table125[[#This Row],[Category]]="M",COUNTIF($I$2:$I13,"M"),IF(Table125[[#This Row],[Category]]="F",COUNTIF($I$2:$I13,"F"),0)))</f>
        <v/>
      </c>
      <c r="E13" s="34"/>
      <c r="F13" s="56"/>
      <c r="G13" s="36"/>
      <c r="H13" s="36"/>
      <c r="I13" s="37"/>
    </row>
    <row r="14" spans="1:9" x14ac:dyDescent="0.25">
      <c r="A14" s="27">
        <f>Table125[[#This Row],[Full Name]]</f>
        <v>0</v>
      </c>
      <c r="B14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4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4" s="7" t="str">
        <f>IF(Table125[[#This Row],[Category]]="","",IF(Table125[[#This Row],[Category]]="M",COUNTIF($I$2:$I14,"M"),IF(Table125[[#This Row],[Category]]="F",COUNTIF($I$2:$I14,"F"),0)))</f>
        <v/>
      </c>
      <c r="E14" s="34"/>
      <c r="F14" s="56"/>
      <c r="G14" s="36"/>
      <c r="H14" s="36"/>
      <c r="I14" s="37"/>
    </row>
    <row r="15" spans="1:9" x14ac:dyDescent="0.25">
      <c r="A15" s="27">
        <f>Table125[[#This Row],[Full Name]]</f>
        <v>0</v>
      </c>
      <c r="B15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5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5" s="7" t="str">
        <f>IF(Table125[[#This Row],[Category]]="","",IF(Table125[[#This Row],[Category]]="M",COUNTIF($I$2:$I15,"M"),IF(Table125[[#This Row],[Category]]="F",COUNTIF($I$2:$I15,"F"),0)))</f>
        <v/>
      </c>
      <c r="E15" s="34"/>
      <c r="F15" s="56"/>
      <c r="G15" s="36"/>
      <c r="H15" s="36"/>
      <c r="I15" s="37"/>
    </row>
    <row r="16" spans="1:9" x14ac:dyDescent="0.25">
      <c r="A16" s="27">
        <f>Table125[[#This Row],[Full Name]]</f>
        <v>0</v>
      </c>
      <c r="B16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6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6" s="7" t="str">
        <f>IF(Table125[[#This Row],[Category]]="","",IF(Table125[[#This Row],[Category]]="M",COUNTIF($I$2:$I16,"M"),IF(Table125[[#This Row],[Category]]="F",COUNTIF($I$2:$I16,"F"),0)))</f>
        <v/>
      </c>
      <c r="E16" s="34"/>
      <c r="F16" s="56"/>
      <c r="G16" s="36"/>
      <c r="H16" s="36"/>
      <c r="I16" s="37"/>
    </row>
    <row r="17" spans="1:9" x14ac:dyDescent="0.25">
      <c r="A17" s="27">
        <f>Table125[[#This Row],[Full Name]]</f>
        <v>0</v>
      </c>
      <c r="B17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7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7" s="7" t="str">
        <f>IF(Table125[[#This Row],[Category]]="","",IF(Table125[[#This Row],[Category]]="M",COUNTIF($I$2:$I17,"M"),IF(Table125[[#This Row],[Category]]="F",COUNTIF($I$2:$I17,"F"),0)))</f>
        <v/>
      </c>
      <c r="E17" s="34"/>
      <c r="F17" s="56"/>
      <c r="G17" s="36"/>
      <c r="H17" s="36"/>
      <c r="I17" s="37"/>
    </row>
    <row r="18" spans="1:9" x14ac:dyDescent="0.25">
      <c r="A18" s="27">
        <f>Table125[[#This Row],[Full Name]]</f>
        <v>0</v>
      </c>
      <c r="B18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8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8" s="7" t="str">
        <f>IF(Table125[[#This Row],[Category]]="","",IF(Table125[[#This Row],[Category]]="M",COUNTIF($I$2:$I18,"M"),IF(Table125[[#This Row],[Category]]="F",COUNTIF($I$2:$I18,"F"),0)))</f>
        <v/>
      </c>
      <c r="E18" s="34"/>
      <c r="F18" s="56"/>
      <c r="G18" s="36"/>
      <c r="H18" s="36"/>
      <c r="I18" s="37"/>
    </row>
    <row r="19" spans="1:9" x14ac:dyDescent="0.25">
      <c r="A19" s="27">
        <f>Table125[[#This Row],[Full Name]]</f>
        <v>0</v>
      </c>
      <c r="B19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19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19" s="7" t="str">
        <f>IF(Table125[[#This Row],[Category]]="","",IF(Table125[[#This Row],[Category]]="M",COUNTIF($I$2:$I19,"M"),IF(Table125[[#This Row],[Category]]="F",COUNTIF($I$2:$I19,"F"),0)))</f>
        <v/>
      </c>
      <c r="E19" s="34"/>
      <c r="F19" s="56"/>
      <c r="G19" s="36"/>
      <c r="H19" s="36"/>
      <c r="I19" s="37"/>
    </row>
    <row r="20" spans="1:9" x14ac:dyDescent="0.25">
      <c r="A20" s="27">
        <f>Table125[[#This Row],[Full Name]]</f>
        <v>0</v>
      </c>
      <c r="B20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0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0" s="7" t="str">
        <f>IF(Table125[[#This Row],[Category]]="","",IF(Table125[[#This Row],[Category]]="M",COUNTIF($I$2:$I20,"M"),IF(Table125[[#This Row],[Category]]="F",COUNTIF($I$2:$I20,"F"),0)))</f>
        <v/>
      </c>
      <c r="E20" s="34"/>
      <c r="F20" s="56"/>
      <c r="G20" s="36"/>
      <c r="H20" s="36"/>
      <c r="I20" s="37"/>
    </row>
    <row r="21" spans="1:9" x14ac:dyDescent="0.25">
      <c r="A21" s="27">
        <f>Table125[[#This Row],[Full Name]]</f>
        <v>0</v>
      </c>
      <c r="B21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1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1" s="7" t="str">
        <f>IF(Table125[[#This Row],[Category]]="","",IF(Table125[[#This Row],[Category]]="M",COUNTIF($I$2:$I21,"M"),IF(Table125[[#This Row],[Category]]="F",COUNTIF($I$2:$I21,"F"),0)))</f>
        <v/>
      </c>
      <c r="E21" s="34"/>
      <c r="F21" s="56"/>
      <c r="G21" s="36"/>
      <c r="H21" s="36"/>
      <c r="I21" s="37"/>
    </row>
    <row r="22" spans="1:9" x14ac:dyDescent="0.25">
      <c r="A22" s="27">
        <f>Table125[[#This Row],[Full Name]]</f>
        <v>0</v>
      </c>
      <c r="B22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2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2" s="7" t="str">
        <f>IF(Table125[[#This Row],[Category]]="","",IF(Table125[[#This Row],[Category]]="M",COUNTIF($I$2:$I22,"M"),IF(Table125[[#This Row],[Category]]="F",COUNTIF($I$2:$I22,"F"),0)))</f>
        <v/>
      </c>
      <c r="E22" s="34"/>
      <c r="F22" s="56"/>
      <c r="G22" s="36"/>
      <c r="H22" s="36"/>
      <c r="I22" s="37"/>
    </row>
    <row r="23" spans="1:9" x14ac:dyDescent="0.25">
      <c r="A23" s="27">
        <f>Table125[[#This Row],[Full Name]]</f>
        <v>0</v>
      </c>
      <c r="B23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3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3" s="7" t="str">
        <f>IF(Table125[[#This Row],[Category]]="","",IF(Table125[[#This Row],[Category]]="M",COUNTIF($I$2:$I23,"M"),IF(Table125[[#This Row],[Category]]="F",COUNTIF($I$2:$I23,"F"),0)))</f>
        <v/>
      </c>
      <c r="E23" s="34"/>
      <c r="F23" s="56"/>
      <c r="G23" s="36"/>
      <c r="H23" s="36"/>
      <c r="I23" s="37"/>
    </row>
    <row r="24" spans="1:9" x14ac:dyDescent="0.25">
      <c r="A24" s="27">
        <f>Table125[[#This Row],[Full Name]]</f>
        <v>0</v>
      </c>
      <c r="B24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4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4" s="7" t="str">
        <f>IF(Table125[[#This Row],[Category]]="","",IF(Table125[[#This Row],[Category]]="M",COUNTIF($I$2:$I24,"M"),IF(Table125[[#This Row],[Category]]="F",COUNTIF($I$2:$I24,"F"),0)))</f>
        <v/>
      </c>
      <c r="E24" s="34"/>
      <c r="F24" s="56"/>
      <c r="G24" s="36"/>
      <c r="H24" s="36"/>
      <c r="I24" s="37"/>
    </row>
    <row r="25" spans="1:9" x14ac:dyDescent="0.25">
      <c r="A25" s="27">
        <f>Table125[[#This Row],[Full Name]]</f>
        <v>0</v>
      </c>
      <c r="B25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5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5" s="7" t="str">
        <f>IF(Table125[[#This Row],[Category]]="","",IF(Table125[[#This Row],[Category]]="M",COUNTIF($I$2:$I25,"M"),IF(Table125[[#This Row],[Category]]="F",COUNTIF($I$2:$I25,"F"),0)))</f>
        <v/>
      </c>
      <c r="E25" s="34"/>
      <c r="F25" s="56"/>
      <c r="G25" s="36"/>
      <c r="H25" s="36"/>
      <c r="I25" s="37"/>
    </row>
    <row r="26" spans="1:9" x14ac:dyDescent="0.25">
      <c r="A26" s="27">
        <f>Table125[[#This Row],[Full Name]]</f>
        <v>0</v>
      </c>
      <c r="B26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6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6" s="7" t="str">
        <f>IF(Table125[[#This Row],[Category]]="","",IF(Table125[[#This Row],[Category]]="M",COUNTIF($I$2:$I26,"M"),IF(Table125[[#This Row],[Category]]="F",COUNTIF($I$2:$I26,"F"),0)))</f>
        <v/>
      </c>
      <c r="E26" s="34"/>
      <c r="F26" s="56"/>
      <c r="G26" s="36"/>
      <c r="H26" s="36"/>
      <c r="I26" s="37"/>
    </row>
    <row r="27" spans="1:9" x14ac:dyDescent="0.25">
      <c r="A27" s="27">
        <f>Table125[[#This Row],[Full Name]]</f>
        <v>0</v>
      </c>
      <c r="B27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7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7" s="7" t="str">
        <f>IF(Table125[[#This Row],[Category]]="","",IF(Table125[[#This Row],[Category]]="M",COUNTIF($I$2:$I27,"M"),IF(Table125[[#This Row],[Category]]="F",COUNTIF($I$2:$I27,"F"),0)))</f>
        <v/>
      </c>
      <c r="E27" s="34"/>
      <c r="F27" s="56"/>
      <c r="G27" s="36"/>
      <c r="H27" s="36"/>
      <c r="I27" s="37"/>
    </row>
    <row r="28" spans="1:9" x14ac:dyDescent="0.25">
      <c r="A28" s="27">
        <f>Table125[[#This Row],[Full Name]]</f>
        <v>0</v>
      </c>
      <c r="B28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8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8" s="7" t="str">
        <f>IF(Table125[[#This Row],[Category]]="","",IF(Table125[[#This Row],[Category]]="M",COUNTIF($I$2:$I28,"M"),IF(Table125[[#This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Table125[[#This Row],[Full Name]]</f>
        <v>0</v>
      </c>
      <c r="B29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29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29" s="7" t="str">
        <f>IF(Table125[[#This Row],[Category]]="","",IF(Table125[[#This Row],[Category]]="M",COUNTIF($I$2:$I29,"M"),IF(Table125[[#This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Table125[[#This Row],[Full Name]]</f>
        <v>0</v>
      </c>
      <c r="B30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0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0" s="7" t="str">
        <f>IF(Table125[[#This Row],[Category]]="","",IF(Table125[[#This Row],[Category]]="M",COUNTIF($I$2:$I30,"M"),IF(Table125[[#This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Table125[[#This Row],[Full Name]]</f>
        <v>0</v>
      </c>
      <c r="B31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1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1" s="7" t="str">
        <f>IF(Table125[[#This Row],[Category]]="","",IF(Table125[[#This Row],[Category]]="M",COUNTIF($I$2:$I31,"M"),IF(Table125[[#This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Table125[[#This Row],[Full Name]]</f>
        <v>0</v>
      </c>
      <c r="B32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2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2" s="7" t="str">
        <f>IF(Table125[[#This Row],[Category]]="","",IF(Table125[[#This Row],[Category]]="M",COUNTIF($I$2:$I32,"M"),IF(Table125[[#This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Table125[[#This Row],[Full Name]]</f>
        <v>0</v>
      </c>
      <c r="B33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3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3" s="7" t="str">
        <f>IF(Table125[[#This Row],[Category]]="","",IF(Table125[[#This Row],[Category]]="M",COUNTIF($I$2:$I33,"M"),IF(Table125[[#This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Table125[[#This Row],[Full Name]]</f>
        <v>0</v>
      </c>
      <c r="B34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4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4" s="7" t="str">
        <f>IF(Table125[[#This Row],[Category]]="","",IF(Table125[[#This Row],[Category]]="M",COUNTIF($I$2:$I34,"M"),IF(Table125[[#This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Table125[[#This Row],[Full Name]]</f>
        <v>0</v>
      </c>
      <c r="B35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5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5" s="7" t="str">
        <f>IF(Table125[[#This Row],[Category]]="","",IF(Table125[[#This Row],[Category]]="M",COUNTIF($I$2:$I35,"M"),IF(Table125[[#This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Table125[[#This Row],[Full Name]]</f>
        <v>0</v>
      </c>
      <c r="B36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6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6" s="7" t="str">
        <f>IF(Table125[[#This Row],[Category]]="","",IF(Table125[[#This Row],[Category]]="M",COUNTIF($I$2:$I36,"M"),IF(Table125[[#This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Table125[[#This Row],[Full Name]]</f>
        <v>0</v>
      </c>
      <c r="B37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7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7" s="7" t="str">
        <f>IF(Table125[[#This Row],[Category]]="","",IF(Table125[[#This Row],[Category]]="M",COUNTIF($I$2:$I37,"M"),IF(Table125[[#This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Table125[[#This Row],[Full Name]]</f>
        <v>0</v>
      </c>
      <c r="B38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8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8" s="7" t="str">
        <f>IF(Table125[[#This Row],[Category]]="","",IF(Table125[[#This Row],[Category]]="M",COUNTIF($I$2:$I38,"M"),IF(Table125[[#This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Table125[[#This Row],[Full Name]]</f>
        <v>0</v>
      </c>
      <c r="B39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39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39" s="7" t="str">
        <f>IF(Table125[[#This Row],[Category]]="","",IF(Table125[[#This Row],[Category]]="M",COUNTIF($I$2:$I39,"M"),IF(Table125[[#This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Table125[[#This Row],[Full Name]]</f>
        <v>0</v>
      </c>
      <c r="B40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0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0" s="7" t="str">
        <f>IF(Table125[[#This Row],[Category]]="","",IF(Table125[[#This Row],[Category]]="M",COUNTIF($I$2:$I40,"M"),IF(Table125[[#This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Table125[[#This Row],[Full Name]]</f>
        <v>0</v>
      </c>
      <c r="B41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1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1" s="7" t="str">
        <f>IF(Table125[[#This Row],[Category]]="","",IF(Table125[[#This Row],[Category]]="M",COUNTIF($I$2:$I41,"M"),IF(Table125[[#This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Table125[[#This Row],[Full Name]]</f>
        <v>0</v>
      </c>
      <c r="B42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2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2" s="7" t="str">
        <f>IF(Table125[[#This Row],[Category]]="","",IF(Table125[[#This Row],[Category]]="M",COUNTIF($I$2:$I42,"M"),IF(Table125[[#This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Table125[[#This Row],[Full Name]]</f>
        <v>0</v>
      </c>
      <c r="B43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3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3" s="7" t="str">
        <f>IF(Table125[[#This Row],[Category]]="","",IF(Table125[[#This Row],[Category]]="M",COUNTIF($I$2:$I43,"M"),IF(Table125[[#This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Table125[[#This Row],[Full Name]]</f>
        <v>0</v>
      </c>
      <c r="B44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4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4" s="7" t="str">
        <f>IF(Table125[[#This Row],[Category]]="","",IF(Table125[[#This Row],[Category]]="M",COUNTIF($I$2:$I44,"M"),IF(Table125[[#This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Table125[[#This Row],[Full Name]]</f>
        <v>0</v>
      </c>
      <c r="B45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5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5" s="7" t="str">
        <f>IF(Table125[[#This Row],[Category]]="","",IF(Table125[[#This Row],[Category]]="M",COUNTIF($I$2:$I45,"M"),IF(Table125[[#This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Table125[[#This Row],[Full Name]]</f>
        <v>0</v>
      </c>
      <c r="B46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6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6" s="7" t="str">
        <f>IF(Table125[[#This Row],[Category]]="","",IF(Table125[[#This Row],[Category]]="M",COUNTIF($I$2:$I46,"M"),IF(Table125[[#This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Table125[[#This Row],[Full Name]]</f>
        <v>0</v>
      </c>
      <c r="B47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7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7" s="7" t="str">
        <f>IF(Table125[[#This Row],[Category]]="","",IF(Table125[[#This Row],[Category]]="M",COUNTIF($I$2:$I47,"M"),IF(Table125[[#This Row],[Category]]="F",COUNTIF($I$2:$I47,"F"),0)))</f>
        <v/>
      </c>
      <c r="E47" s="34"/>
      <c r="F47" s="56"/>
      <c r="G47" s="36"/>
      <c r="H47" s="36"/>
      <c r="I47" s="37"/>
    </row>
    <row r="48" spans="1:9" x14ac:dyDescent="0.25">
      <c r="A48" s="27">
        <f>Table125[[#This Row],[Full Name]]</f>
        <v>0</v>
      </c>
      <c r="B48" s="29" t="str">
        <f>IF(Table125[[#This Row],[Full Name]]="","",IF(IFERROR(IFERROR(VLOOKUP(Table125[[#This Row],[Full Name]],'Mens League'!B:B,1,FALSE),VLOOKUP(Table125[[#This Row],[Full Name]],'Women''s League'!B:B,1,FALSE)),"NEEDS ADDING")="NEEDS ADDING","NEEDS ADDING","OK"))</f>
        <v/>
      </c>
      <c r="C48" s="29" t="str">
        <f>IF(Table125[[#This Row],[Position]]="","",IF(Table125[[#This Row],[Rank]]=1,30,IF(Table125[[#This Row],[Rank]]=2,29,IF(Table125[[#This Row],[Rank]]=3,28,IF(Table125[[#This Row],[Rank]]=4,27,IF(Table125[[#This Row],[Rank]]=5,26,IF(Table125[[#This Row],[Rank]]=6,25,IF(Table125[[#This Row],[Rank]]=7,24,IF(Table125[[#This Row],[Rank]]=8,23,IF(Table125[[#This Row],[Rank]]=9,22,IF(Table125[[#This Row],[Rank]]=10,21,IF(Table125[[#This Row],[Rank]]=11,20,IF(Table125[[#This Row],[Rank]]=12,19,IF(Table125[[#This Row],[Rank]]=13,18,IF(Table125[[#This Row],[Rank]]=14,17,IF(Table125[[#This Row],[Rank]]=15,16,IF(Table125[[#This Row],[Rank]]=16,15,IF(Table125[[#This Row],[Rank]]=17,14,IF(Table125[[#This Row],[Rank]]=18,13,IF(Table125[[#This Row],[Rank]]=19,12,IF(Table125[[#This Row],[Rank]]=20,11,IF(Table125[[#This Row],[Rank]]=21,10,IF(Table125[[#This Row],[Rank]]=22,9,IF(Table125[[#This Row],[Rank]]=23,8,IF(Table125[[#This Row],[Rank]]=24,7,IF(Table125[[#This Row],[Rank]]=25,6,IF(Table125[[#This Row],[Rank]]=26,5,IF(Table125[[#This Row],[Rank]]=27,4,IF(Table125[[#This Row],[Rank]]=28,3,IF(Table125[[#This Row],[Rank]]=29,2,IF(Table125[[#This Row],[Rank]]=30,1,0)))))))))))))))))))))))))))))))</f>
        <v/>
      </c>
      <c r="D48" s="7" t="str">
        <f>IF(Table125[[#This Row],[Category]]="","",IF(Table125[[#This Row],[Category]]="M",COUNTIF($I$2:$I48,"M"),IF(Table125[[#This Row],[Category]]="F",COUNTIF($I$2:$I48,"F"),0)))</f>
        <v/>
      </c>
      <c r="E48" s="34"/>
      <c r="F48" s="56"/>
      <c r="G48" s="36"/>
      <c r="H48" s="36"/>
      <c r="I48" s="37"/>
    </row>
  </sheetData>
  <phoneticPr fontId="11" type="noConversion"/>
  <conditionalFormatting sqref="B2:B48">
    <cfRule type="containsText" dxfId="33" priority="1" operator="containsText" text="OK">
      <formula>NOT(ISERROR(SEARCH("OK",B2)))</formula>
    </cfRule>
    <cfRule type="containsText" dxfId="32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5E76-413D-4C24-A304-78F5372AEF64}">
  <sheetPr>
    <tabColor rgb="FF00B0F0"/>
  </sheetPr>
  <dimension ref="A1:I49"/>
  <sheetViews>
    <sheetView topLeftCell="B1" workbookViewId="0">
      <selection activeCell="H9" sqref="H9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Table15678[[#This Row],[Full Name]]</f>
        <v>BARNES, Louis</v>
      </c>
      <c r="B2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>OK</v>
      </c>
      <c r="C2" s="28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>30</v>
      </c>
      <c r="D2" s="7">
        <f>IF(Table15678[[#This Row],[Category]]="","",IF(Table15678[[#This Row],[Category]]="M",COUNTIF($I$2:$I2,"M"),IF(Table15678[[#This Row],[Category]]="F",COUNTIF($I$2:$I2,"F"),0)))</f>
        <v>1</v>
      </c>
      <c r="E2" s="34">
        <v>95</v>
      </c>
      <c r="F2" s="56">
        <v>7.3969907407407401E-2</v>
      </c>
      <c r="G2" s="36" t="s">
        <v>250</v>
      </c>
      <c r="H2" s="36" t="s">
        <v>4</v>
      </c>
      <c r="I2" s="37" t="s">
        <v>146</v>
      </c>
    </row>
    <row r="3" spans="1:9" x14ac:dyDescent="0.25">
      <c r="A3" s="26" t="str">
        <f>Table15678[[#This Row],[Full Name]]</f>
        <v>HORN, Patrick</v>
      </c>
      <c r="B3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>OK</v>
      </c>
      <c r="C3" s="28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>29</v>
      </c>
      <c r="D3" s="7">
        <f>IF(Table15678[[#This Row],[Category]]="","",IF(Table15678[[#This Row],[Category]]="M",COUNTIF($I$2:$I3,"M"),IF(Table15678[[#This Row],[Category]]="F",COUNTIF($I$2:$I3,"F"),0)))</f>
        <v>2</v>
      </c>
      <c r="E3" s="34">
        <v>96</v>
      </c>
      <c r="F3" s="56">
        <v>7.3981481481481481E-2</v>
      </c>
      <c r="G3" s="36" t="s">
        <v>250</v>
      </c>
      <c r="H3" s="36" t="s">
        <v>46</v>
      </c>
      <c r="I3" s="37" t="s">
        <v>146</v>
      </c>
    </row>
    <row r="4" spans="1:9" x14ac:dyDescent="0.25">
      <c r="A4" s="26" t="str">
        <f>Table15678[[#This Row],[Full Name]]</f>
        <v>SMITH, Victoria</v>
      </c>
      <c r="B4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>OK</v>
      </c>
      <c r="C4" s="28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>30</v>
      </c>
      <c r="D4" s="7">
        <f>IF(Table15678[[#This Row],[Category]]="","",IF(Table15678[[#This Row],[Category]]="M",COUNTIF($I$2:$I4,"M"),IF(Table15678[[#This Row],[Category]]="F",COUNTIF($I$2:$I4,"F"),0)))</f>
        <v>1</v>
      </c>
      <c r="E4" s="34">
        <v>109</v>
      </c>
      <c r="F4" s="56">
        <v>7.5763888888888895E-2</v>
      </c>
      <c r="G4" s="36" t="s">
        <v>218</v>
      </c>
      <c r="H4" s="36" t="s">
        <v>41</v>
      </c>
      <c r="I4" s="37" t="s">
        <v>156</v>
      </c>
    </row>
    <row r="5" spans="1:9" x14ac:dyDescent="0.25">
      <c r="A5" s="26" t="str">
        <f>Table15678[[#This Row],[Full Name]]</f>
        <v>AVERILLO, Paul</v>
      </c>
      <c r="B5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>OK</v>
      </c>
      <c r="C5" s="28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>28</v>
      </c>
      <c r="D5" s="7">
        <f>IF(Table15678[[#This Row],[Category]]="","",IF(Table15678[[#This Row],[Category]]="M",COUNTIF($I$2:$I5,"M"),IF(Table15678[[#This Row],[Category]]="F",COUNTIF($I$2:$I5,"F"),0)))</f>
        <v>3</v>
      </c>
      <c r="E5" s="34">
        <v>179</v>
      </c>
      <c r="F5" s="56">
        <v>8.655092592592592E-2</v>
      </c>
      <c r="G5" s="36" t="s">
        <v>152</v>
      </c>
      <c r="H5" s="36" t="s">
        <v>54</v>
      </c>
      <c r="I5" s="37" t="s">
        <v>146</v>
      </c>
    </row>
    <row r="6" spans="1:9" x14ac:dyDescent="0.25">
      <c r="A6" s="26">
        <f>Table15678[[#This Row],[Full Name]]</f>
        <v>0</v>
      </c>
      <c r="B6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6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6" s="7" t="str">
        <f>IF(Table15678[[#This Row],[Category]]="","",IF(Table15678[[#This Row],[Category]]="M",COUNTIF($I$2:$I6,"M"),IF(Table15678[[#This Row],[Category]]="F",COUNTIF($I$2:$I6,"F"),0)))</f>
        <v/>
      </c>
      <c r="E6" s="34"/>
      <c r="F6" s="56"/>
      <c r="G6" s="36"/>
      <c r="H6" s="36"/>
      <c r="I6" s="37"/>
    </row>
    <row r="7" spans="1:9" x14ac:dyDescent="0.25">
      <c r="A7" s="26">
        <f>Table15678[[#This Row],[Full Name]]</f>
        <v>0</v>
      </c>
      <c r="B7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7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7" s="7" t="str">
        <f>IF(Table15678[[#This Row],[Category]]="","",IF(Table15678[[#This Row],[Category]]="M",COUNTIF($I$2:$I7,"M"),IF(Table15678[[#This Row],[Category]]="F",COUNTIF($I$2:$I7,"F"),0)))</f>
        <v/>
      </c>
      <c r="E7" s="34"/>
      <c r="F7" s="56"/>
      <c r="G7" s="36"/>
      <c r="H7" s="36"/>
      <c r="I7" s="37"/>
    </row>
    <row r="8" spans="1:9" x14ac:dyDescent="0.25">
      <c r="A8" s="26">
        <f>Table15678[[#This Row],[Full Name]]</f>
        <v>0</v>
      </c>
      <c r="B8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8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8" s="7" t="str">
        <f>IF(Table15678[[#This Row],[Category]]="","",IF(Table15678[[#This Row],[Category]]="M",COUNTIF($I$2:$I8,"M"),IF(Table15678[[#This Row],[Category]]="F",COUNTIF($I$2:$I8,"F"),0)))</f>
        <v/>
      </c>
      <c r="E8" s="34"/>
      <c r="F8" s="56"/>
      <c r="G8" s="36"/>
      <c r="H8" s="36"/>
      <c r="I8" s="37"/>
    </row>
    <row r="9" spans="1:9" x14ac:dyDescent="0.25">
      <c r="A9" s="26">
        <f>Table15678[[#This Row],[Full Name]]</f>
        <v>0</v>
      </c>
      <c r="B9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9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9" s="7" t="str">
        <f>IF(Table15678[[#This Row],[Category]]="","",IF(Table15678[[#This Row],[Category]]="M",COUNTIF($I$2:$I9,"M"),IF(Table15678[[#This Row],[Category]]="F",COUNTIF($I$2:$I9,"F"),0)))</f>
        <v/>
      </c>
      <c r="E9" s="34"/>
      <c r="F9" s="56"/>
      <c r="G9" s="36"/>
      <c r="H9" s="36"/>
      <c r="I9" s="37"/>
    </row>
    <row r="10" spans="1:9" x14ac:dyDescent="0.25">
      <c r="A10" s="26">
        <f>Table15678[[#This Row],[Full Name]]</f>
        <v>0</v>
      </c>
      <c r="B10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0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0" s="7" t="str">
        <f>IF(Table15678[[#This Row],[Category]]="","",IF(Table15678[[#This Row],[Category]]="M",COUNTIF($I$2:$I10,"M"),IF(Table15678[[#This Row],[Category]]="F",COUNTIF($I$2:$I10,"F"),0)))</f>
        <v/>
      </c>
      <c r="E10" s="34"/>
      <c r="F10" s="56"/>
      <c r="G10" s="36"/>
      <c r="H10" s="36"/>
      <c r="I10" s="37"/>
    </row>
    <row r="11" spans="1:9" x14ac:dyDescent="0.25">
      <c r="A11" s="26">
        <f>Table15678[[#This Row],[Full Name]]</f>
        <v>0</v>
      </c>
      <c r="B11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1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1" s="7" t="str">
        <f>IF(Table15678[[#This Row],[Category]]="","",IF(Table15678[[#This Row],[Category]]="M",COUNTIF($I$2:$I11,"M"),IF(Table15678[[#This Row],[Category]]="F",COUNTIF($I$2:$I11,"F"),0)))</f>
        <v/>
      </c>
      <c r="E11" s="34"/>
      <c r="F11" s="56"/>
      <c r="G11" s="36"/>
      <c r="H11" s="36"/>
      <c r="I11" s="37"/>
    </row>
    <row r="12" spans="1:9" x14ac:dyDescent="0.25">
      <c r="A12" s="26">
        <f>Table15678[[#This Row],[Full Name]]</f>
        <v>0</v>
      </c>
      <c r="B12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2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2" s="7" t="str">
        <f>IF(Table15678[[#This Row],[Category]]="","",IF(Table15678[[#This Row],[Category]]="M",COUNTIF($I$2:$I12,"M"),IF(Table15678[[#This Row],[Category]]="F",COUNTIF($I$2:$I12,"F"),0)))</f>
        <v/>
      </c>
      <c r="E12" s="34"/>
      <c r="F12" s="56"/>
      <c r="G12" s="36"/>
      <c r="H12" s="36"/>
      <c r="I12" s="37"/>
    </row>
    <row r="13" spans="1:9" x14ac:dyDescent="0.25">
      <c r="A13" s="26">
        <f>Table15678[[#This Row],[Full Name]]</f>
        <v>0</v>
      </c>
      <c r="B13" s="28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3" s="28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3" s="7" t="str">
        <f>IF(Table15678[[#This Row],[Category]]="","",IF(Table15678[[#This Row],[Category]]="M",COUNTIF($I$2:$I13,"M"),IF(Table15678[[#This Row],[Category]]="F",COUNTIF($I$2:$I13,"F"),0)))</f>
        <v/>
      </c>
      <c r="E13" s="34"/>
      <c r="F13" s="56"/>
      <c r="G13" s="36"/>
      <c r="H13" s="36"/>
      <c r="I13" s="37"/>
    </row>
    <row r="14" spans="1:9" x14ac:dyDescent="0.25">
      <c r="A14" s="27">
        <f>Table15678[[#This Row],[Full Name]]</f>
        <v>0</v>
      </c>
      <c r="B14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4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4" s="7" t="str">
        <f>IF(Table15678[[#This Row],[Category]]="","",IF(Table15678[[#This Row],[Category]]="M",COUNTIF($I$2:$I14,"M"),IF(Table15678[[#This Row],[Category]]="F",COUNTIF($I$2:$I14,"F"),0)))</f>
        <v/>
      </c>
      <c r="E14" s="38"/>
      <c r="F14" s="56"/>
      <c r="G14" s="40"/>
      <c r="H14" s="40"/>
      <c r="I14" s="41"/>
    </row>
    <row r="15" spans="1:9" x14ac:dyDescent="0.25">
      <c r="A15" s="27">
        <f>Table15678[[#This Row],[Full Name]]</f>
        <v>0</v>
      </c>
      <c r="B15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5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5" s="7" t="str">
        <f>IF(Table15678[[#This Row],[Category]]="","",IF(Table15678[[#This Row],[Category]]="M",COUNTIF($I$2:$I15,"M"),IF(Table15678[[#This Row],[Category]]="F",COUNTIF($I$2:$I15,"F"),0)))</f>
        <v/>
      </c>
      <c r="E15" s="34"/>
      <c r="F15" s="56"/>
      <c r="G15" s="36"/>
      <c r="H15" s="36"/>
      <c r="I15" s="37"/>
    </row>
    <row r="16" spans="1:9" x14ac:dyDescent="0.25">
      <c r="A16" s="27">
        <f>Table15678[[#This Row],[Full Name]]</f>
        <v>0</v>
      </c>
      <c r="B16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6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6" s="7" t="str">
        <f>IF(Table15678[[#This Row],[Category]]="","",IF(Table15678[[#This Row],[Category]]="M",COUNTIF($I$2:$I16,"M"),IF(Table15678[[#This Row],[Category]]="F",COUNTIF($I$2:$I16,"F"),0)))</f>
        <v/>
      </c>
      <c r="E16" s="34"/>
      <c r="F16" s="56"/>
      <c r="G16" s="36"/>
      <c r="H16" s="36"/>
      <c r="I16" s="37"/>
    </row>
    <row r="17" spans="1:9" x14ac:dyDescent="0.25">
      <c r="A17" s="27">
        <f>Table15678[[#This Row],[Full Name]]</f>
        <v>0</v>
      </c>
      <c r="B17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7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7" s="7" t="str">
        <f>IF(Table15678[[#This Row],[Category]]="","",IF(Table15678[[#This Row],[Category]]="M",COUNTIF($I$2:$I17,"M"),IF(Table15678[[#This Row],[Category]]="F",COUNTIF($I$2:$I17,"F"),0)))</f>
        <v/>
      </c>
      <c r="E17" s="34"/>
      <c r="F17" s="56"/>
      <c r="G17" s="36"/>
      <c r="H17" s="36"/>
      <c r="I17" s="37"/>
    </row>
    <row r="18" spans="1:9" x14ac:dyDescent="0.25">
      <c r="A18" s="27">
        <f>Table15678[[#This Row],[Full Name]]</f>
        <v>0</v>
      </c>
      <c r="B18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8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8" s="7" t="str">
        <f>IF(Table15678[[#This Row],[Category]]="","",IF(Table15678[[#This Row],[Category]]="M",COUNTIF($I$2:$I18,"M"),IF(Table15678[[#This Row],[Category]]="F",COUNTIF($I$2:$I18,"F"),0)))</f>
        <v/>
      </c>
      <c r="E18" s="34"/>
      <c r="F18" s="56"/>
      <c r="G18" s="36"/>
      <c r="H18" s="36"/>
      <c r="I18" s="37"/>
    </row>
    <row r="19" spans="1:9" x14ac:dyDescent="0.25">
      <c r="A19" s="27">
        <f>Table15678[[#This Row],[Full Name]]</f>
        <v>0</v>
      </c>
      <c r="B19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19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19" s="7" t="str">
        <f>IF(Table15678[[#This Row],[Category]]="","",IF(Table15678[[#This Row],[Category]]="M",COUNTIF($I$2:$I19,"M"),IF(Table15678[[#This Row],[Category]]="F",COUNTIF($I$2:$I19,"F"),0)))</f>
        <v/>
      </c>
      <c r="E19" s="34"/>
      <c r="F19" s="56"/>
      <c r="G19" s="36"/>
      <c r="H19" s="36"/>
      <c r="I19" s="37"/>
    </row>
    <row r="20" spans="1:9" x14ac:dyDescent="0.25">
      <c r="A20" s="27">
        <f>Table15678[[#This Row],[Full Name]]</f>
        <v>0</v>
      </c>
      <c r="B20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0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0" s="7" t="str">
        <f>IF(Table15678[[#This Row],[Category]]="","",IF(Table15678[[#This Row],[Category]]="M",COUNTIF($I$2:$I20,"M"),IF(Table15678[[#This Row],[Category]]="F",COUNTIF($I$2:$I20,"F"),0)))</f>
        <v/>
      </c>
      <c r="E20" s="34"/>
      <c r="F20" s="56"/>
      <c r="G20" s="36"/>
      <c r="H20" s="36"/>
      <c r="I20" s="37"/>
    </row>
    <row r="21" spans="1:9" x14ac:dyDescent="0.25">
      <c r="A21" s="27">
        <f>Table15678[[#This Row],[Full Name]]</f>
        <v>0</v>
      </c>
      <c r="B21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1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1" s="7" t="str">
        <f>IF(Table15678[[#This Row],[Category]]="","",IF(Table15678[[#This Row],[Category]]="M",COUNTIF($I$2:$I21,"M"),IF(Table15678[[#This Row],[Category]]="F",COUNTIF($I$2:$I21,"F"),0)))</f>
        <v/>
      </c>
      <c r="E21" s="34"/>
      <c r="F21" s="56"/>
      <c r="G21" s="36"/>
      <c r="H21" s="36"/>
      <c r="I21" s="37"/>
    </row>
    <row r="22" spans="1:9" x14ac:dyDescent="0.25">
      <c r="A22" s="27">
        <f>Table15678[[#This Row],[Full Name]]</f>
        <v>0</v>
      </c>
      <c r="B22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2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2" s="7" t="str">
        <f>IF(Table15678[[#This Row],[Category]]="","",IF(Table15678[[#This Row],[Category]]="M",COUNTIF($I$2:$I22,"M"),IF(Table15678[[#This Row],[Category]]="F",COUNTIF($I$2:$I22,"F"),0)))</f>
        <v/>
      </c>
      <c r="E22" s="34"/>
      <c r="F22" s="56"/>
      <c r="G22" s="36"/>
      <c r="H22" s="36"/>
      <c r="I22" s="37"/>
    </row>
    <row r="23" spans="1:9" x14ac:dyDescent="0.25">
      <c r="A23" s="27">
        <f>Table15678[[#This Row],[Full Name]]</f>
        <v>0</v>
      </c>
      <c r="B23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3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3" s="7" t="str">
        <f>IF(Table15678[[#This Row],[Category]]="","",IF(Table15678[[#This Row],[Category]]="M",COUNTIF($I$2:$I23,"M"),IF(Table15678[[#This Row],[Category]]="F",COUNTIF($I$2:$I23,"F"),0)))</f>
        <v/>
      </c>
      <c r="E23" s="34"/>
      <c r="F23" s="56"/>
      <c r="G23" s="36"/>
      <c r="H23" s="36"/>
      <c r="I23" s="37"/>
    </row>
    <row r="24" spans="1:9" x14ac:dyDescent="0.25">
      <c r="A24" s="27">
        <f>Table15678[[#This Row],[Full Name]]</f>
        <v>0</v>
      </c>
      <c r="B24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4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4" s="7" t="str">
        <f>IF(Table15678[[#This Row],[Category]]="","",IF(Table15678[[#This Row],[Category]]="M",COUNTIF($I$2:$I24,"M"),IF(Table15678[[#This Row],[Category]]="F",COUNTIF($I$2:$I24,"F"),0)))</f>
        <v/>
      </c>
      <c r="E24" s="34"/>
      <c r="F24" s="56"/>
      <c r="G24" s="36"/>
      <c r="H24" s="36"/>
      <c r="I24" s="37"/>
    </row>
    <row r="25" spans="1:9" x14ac:dyDescent="0.25">
      <c r="A25" s="27">
        <f>Table15678[[#This Row],[Full Name]]</f>
        <v>0</v>
      </c>
      <c r="B25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5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5" s="7" t="str">
        <f>IF(Table15678[[#This Row],[Category]]="","",IF(Table15678[[#This Row],[Category]]="M",COUNTIF($I$2:$I25,"M"),IF(Table15678[[#This Row],[Category]]="F",COUNTIF($I$2:$I25,"F"),0)))</f>
        <v/>
      </c>
      <c r="E25" s="34"/>
      <c r="F25" s="56"/>
      <c r="G25" s="36"/>
      <c r="H25" s="36"/>
      <c r="I25" s="37"/>
    </row>
    <row r="26" spans="1:9" x14ac:dyDescent="0.25">
      <c r="A26" s="27">
        <f>Table15678[[#This Row],[Full Name]]</f>
        <v>0</v>
      </c>
      <c r="B26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6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6" s="7" t="str">
        <f>IF(Table15678[[#This Row],[Category]]="","",IF(Table15678[[#This Row],[Category]]="M",COUNTIF($I$2:$I26,"M"),IF(Table15678[[#This Row],[Category]]="F",COUNTIF($I$2:$I26,"F"),0)))</f>
        <v/>
      </c>
      <c r="E26" s="34"/>
      <c r="F26" s="56"/>
      <c r="G26" s="36"/>
      <c r="H26" s="36"/>
      <c r="I26" s="37"/>
    </row>
    <row r="27" spans="1:9" x14ac:dyDescent="0.25">
      <c r="A27" s="27">
        <f>Table15678[[#This Row],[Full Name]]</f>
        <v>0</v>
      </c>
      <c r="B27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7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7" s="7" t="str">
        <f>IF(Table15678[[#This Row],[Category]]="","",IF(Table15678[[#This Row],[Category]]="M",COUNTIF($I$2:$I27,"M"),IF(Table15678[[#This Row],[Category]]="F",COUNTIF($I$2:$I27,"F"),0)))</f>
        <v/>
      </c>
      <c r="E27" s="34"/>
      <c r="F27" s="56"/>
      <c r="G27" s="36"/>
      <c r="H27" s="36"/>
      <c r="I27" s="37"/>
    </row>
    <row r="28" spans="1:9" x14ac:dyDescent="0.25">
      <c r="A28" s="27">
        <f>Table15678[[#This Row],[Full Name]]</f>
        <v>0</v>
      </c>
      <c r="B28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8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8" s="7" t="str">
        <f>IF(Table15678[[#This Row],[Category]]="","",IF(Table15678[[#This Row],[Category]]="M",COUNTIF($I$2:$I28,"M"),IF(Table15678[[#This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Table15678[[#This Row],[Full Name]]</f>
        <v>0</v>
      </c>
      <c r="B29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29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29" s="7" t="str">
        <f>IF(Table15678[[#This Row],[Category]]="","",IF(Table15678[[#This Row],[Category]]="M",COUNTIF($I$2:$I29,"M"),IF(Table15678[[#This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Table15678[[#This Row],[Full Name]]</f>
        <v>0</v>
      </c>
      <c r="B30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0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0" s="7" t="str">
        <f>IF(Table15678[[#This Row],[Category]]="","",IF(Table15678[[#This Row],[Category]]="M",COUNTIF($I$2:$I30,"M"),IF(Table15678[[#This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Table15678[[#This Row],[Full Name]]</f>
        <v>0</v>
      </c>
      <c r="B31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1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1" s="7" t="str">
        <f>IF(Table15678[[#This Row],[Category]]="","",IF(Table15678[[#This Row],[Category]]="M",COUNTIF($I$2:$I31,"M"),IF(Table15678[[#This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Table15678[[#This Row],[Full Name]]</f>
        <v>0</v>
      </c>
      <c r="B32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2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2" s="7" t="str">
        <f>IF(Table15678[[#This Row],[Category]]="","",IF(Table15678[[#This Row],[Category]]="M",COUNTIF($I$2:$I32,"M"),IF(Table15678[[#This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Table15678[[#This Row],[Full Name]]</f>
        <v>0</v>
      </c>
      <c r="B33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3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3" s="7" t="str">
        <f>IF(Table15678[[#This Row],[Category]]="","",IF(Table15678[[#This Row],[Category]]="M",COUNTIF($I$2:$I33,"M"),IF(Table15678[[#This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Table15678[[#This Row],[Full Name]]</f>
        <v>0</v>
      </c>
      <c r="B34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4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4" s="7" t="str">
        <f>IF(Table15678[[#This Row],[Category]]="","",IF(Table15678[[#This Row],[Category]]="M",COUNTIF($I$2:$I34,"M"),IF(Table15678[[#This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Table15678[[#This Row],[Full Name]]</f>
        <v>0</v>
      </c>
      <c r="B35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5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5" s="7" t="str">
        <f>IF(Table15678[[#This Row],[Category]]="","",IF(Table15678[[#This Row],[Category]]="M",COUNTIF($I$2:$I35,"M"),IF(Table15678[[#This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Table15678[[#This Row],[Full Name]]</f>
        <v>0</v>
      </c>
      <c r="B36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6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6" s="7" t="str">
        <f>IF(Table15678[[#This Row],[Category]]="","",IF(Table15678[[#This Row],[Category]]="M",COUNTIF($I$2:$I36,"M"),IF(Table15678[[#This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Table15678[[#This Row],[Full Name]]</f>
        <v>0</v>
      </c>
      <c r="B37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7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7" s="7" t="str">
        <f>IF(Table15678[[#This Row],[Category]]="","",IF(Table15678[[#This Row],[Category]]="M",COUNTIF($I$2:$I37,"M"),IF(Table15678[[#This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Table15678[[#This Row],[Full Name]]</f>
        <v>0</v>
      </c>
      <c r="B38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8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8" s="7" t="str">
        <f>IF(Table15678[[#This Row],[Category]]="","",IF(Table15678[[#This Row],[Category]]="M",COUNTIF($I$2:$I38,"M"),IF(Table15678[[#This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Table15678[[#This Row],[Full Name]]</f>
        <v>0</v>
      </c>
      <c r="B39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39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39" s="7" t="str">
        <f>IF(Table15678[[#This Row],[Category]]="","",IF(Table15678[[#This Row],[Category]]="M",COUNTIF($I$2:$I39,"M"),IF(Table15678[[#This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Table15678[[#This Row],[Full Name]]</f>
        <v>0</v>
      </c>
      <c r="B40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0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0" s="7" t="str">
        <f>IF(Table15678[[#This Row],[Category]]="","",IF(Table15678[[#This Row],[Category]]="M",COUNTIF($I$2:$I40,"M"),IF(Table15678[[#This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Table15678[[#This Row],[Full Name]]</f>
        <v>0</v>
      </c>
      <c r="B41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1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1" s="7" t="str">
        <f>IF(Table15678[[#This Row],[Category]]="","",IF(Table15678[[#This Row],[Category]]="M",COUNTIF($I$2:$I41,"M"),IF(Table15678[[#This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Table15678[[#This Row],[Full Name]]</f>
        <v>0</v>
      </c>
      <c r="B42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2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2" s="7" t="str">
        <f>IF(Table15678[[#This Row],[Category]]="","",IF(Table15678[[#This Row],[Category]]="M",COUNTIF($I$2:$I42,"M"),IF(Table15678[[#This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Table15678[[#This Row],[Full Name]]</f>
        <v>0</v>
      </c>
      <c r="B43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3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3" s="7" t="str">
        <f>IF(Table15678[[#This Row],[Category]]="","",IF(Table15678[[#This Row],[Category]]="M",COUNTIF($I$2:$I43,"M"),IF(Table15678[[#This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Table15678[[#This Row],[Full Name]]</f>
        <v>0</v>
      </c>
      <c r="B44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4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4" s="7" t="str">
        <f>IF(Table15678[[#This Row],[Category]]="","",IF(Table15678[[#This Row],[Category]]="M",COUNTIF($I$2:$I44,"M"),IF(Table15678[[#This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Table15678[[#This Row],[Full Name]]</f>
        <v>0</v>
      </c>
      <c r="B45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5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5" s="7" t="str">
        <f>IF(Table15678[[#This Row],[Category]]="","",IF(Table15678[[#This Row],[Category]]="M",COUNTIF($I$2:$I45,"M"),IF(Table15678[[#This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Table15678[[#This Row],[Full Name]]</f>
        <v>0</v>
      </c>
      <c r="B46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6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6" s="7" t="str">
        <f>IF(Table15678[[#This Row],[Category]]="","",IF(Table15678[[#This Row],[Category]]="M",COUNTIF($I$2:$I46,"M"),IF(Table15678[[#This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Table15678[[#This Row],[Full Name]]</f>
        <v>0</v>
      </c>
      <c r="B47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7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7" s="7" t="str">
        <f>IF(Table15678[[#This Row],[Category]]="","",IF(Table15678[[#This Row],[Category]]="M",COUNTIF($I$2:$I47,"M"),IF(Table15678[[#This Row],[Category]]="F",COUNTIF($I$2:$I47,"F"),0)))</f>
        <v/>
      </c>
      <c r="E47" s="34"/>
      <c r="F47" s="56"/>
      <c r="G47" s="36"/>
      <c r="H47" s="36"/>
      <c r="I47" s="37"/>
    </row>
    <row r="48" spans="1:9" x14ac:dyDescent="0.25">
      <c r="A48" s="27">
        <f>Table15678[[#This Row],[Full Name]]</f>
        <v>0</v>
      </c>
      <c r="B48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8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8" s="7" t="str">
        <f>IF(Table15678[[#This Row],[Category]]="","",IF(Table15678[[#This Row],[Category]]="M",COUNTIF($I$2:$I48,"M"),IF(Table15678[[#This Row],[Category]]="F",COUNTIF($I$2:$I48,"F"),0)))</f>
        <v/>
      </c>
      <c r="E48" s="34"/>
      <c r="F48" s="56"/>
      <c r="G48" s="36"/>
      <c r="H48" s="36"/>
      <c r="I48" s="37"/>
    </row>
    <row r="49" spans="1:9" x14ac:dyDescent="0.25">
      <c r="A49" s="27">
        <f>Table15678[[#This Row],[Full Name]]</f>
        <v>0</v>
      </c>
      <c r="B49" s="29" t="str">
        <f>IF(Table15678[[#This Row],[Full Name]]="","",IF(IFERROR(IFERROR(VLOOKUP(Table15678[[#This Row],[Full Name]],'Mens League'!B:B,1,FALSE),VLOOKUP(Table15678[[#This Row],[Full Name]],'Women''s League'!B:B,1,FALSE)),"NEEDS ADDING")="NEEDS ADDING","NEEDS ADDING","OK"))</f>
        <v/>
      </c>
      <c r="C49" s="29" t="str">
        <f>IF(Table15678[[#This Row],[Position]]="","",IF(Table15678[[#This Row],[Rank]]=1,30,IF(Table15678[[#This Row],[Rank]]=2,29,IF(Table15678[[#This Row],[Rank]]=3,28,IF(Table15678[[#This Row],[Rank]]=4,27,IF(Table15678[[#This Row],[Rank]]=5,26,IF(Table15678[[#This Row],[Rank]]=6,25,IF(Table15678[[#This Row],[Rank]]=7,24,IF(Table15678[[#This Row],[Rank]]=8,23,IF(Table15678[[#This Row],[Rank]]=9,22,IF(Table15678[[#This Row],[Rank]]=10,21,IF(Table15678[[#This Row],[Rank]]=11,20,IF(Table15678[[#This Row],[Rank]]=12,19,IF(Table15678[[#This Row],[Rank]]=13,18,IF(Table15678[[#This Row],[Rank]]=14,17,IF(Table15678[[#This Row],[Rank]]=15,16,IF(Table15678[[#This Row],[Rank]]=16,15,IF(Table15678[[#This Row],[Rank]]=17,14,IF(Table15678[[#This Row],[Rank]]=18,13,IF(Table15678[[#This Row],[Rank]]=19,12,IF(Table15678[[#This Row],[Rank]]=20,11,IF(Table15678[[#This Row],[Rank]]=21,10,IF(Table15678[[#This Row],[Rank]]=22,9,IF(Table15678[[#This Row],[Rank]]=23,8,IF(Table15678[[#This Row],[Rank]]=24,7,IF(Table15678[[#This Row],[Rank]]=25,6,IF(Table15678[[#This Row],[Rank]]=26,5,IF(Table15678[[#This Row],[Rank]]=27,4,IF(Table15678[[#This Row],[Rank]]=28,3,IF(Table15678[[#This Row],[Rank]]=29,2,IF(Table15678[[#This Row],[Rank]]=30,1,0)))))))))))))))))))))))))))))))</f>
        <v/>
      </c>
      <c r="D49" s="7" t="str">
        <f>IF(Table15678[[#This Row],[Category]]="","",IF(Table15678[[#This Row],[Category]]="M",COUNTIF($I$2:$I49,"M"),IF(Table15678[[#This Row],[Category]]="F",COUNTIF($I$2:$I49,"F"),0)))</f>
        <v/>
      </c>
      <c r="E49" s="34"/>
      <c r="F49" s="56"/>
      <c r="G49" s="36"/>
      <c r="H49" s="36"/>
      <c r="I49" s="37"/>
    </row>
  </sheetData>
  <phoneticPr fontId="11" type="noConversion"/>
  <conditionalFormatting sqref="B2:B49">
    <cfRule type="containsText" dxfId="31" priority="1" operator="containsText" text="OK">
      <formula>NOT(ISERROR(SEARCH("OK",B2)))</formula>
    </cfRule>
    <cfRule type="containsText" dxfId="30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BC0B-643A-4A22-824D-9E620B353C0A}">
  <sheetPr>
    <tabColor rgb="FF00B0F0"/>
  </sheetPr>
  <dimension ref="A1:I47"/>
  <sheetViews>
    <sheetView topLeftCell="B1" workbookViewId="0">
      <selection activeCell="H18" sqref="H18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Table15678910[[#This Row],[Full Name]]</f>
        <v>PARKER, Mark</v>
      </c>
      <c r="B2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30</v>
      </c>
      <c r="D2" s="7">
        <f>IF(Table15678910[[#This Row],[Category]]="","",IF(Table15678910[[#This Row],[Category]]="M",COUNTIF($I$2:$I2,"M"),IF(Table15678910[[#This Row],[Category]]="F",COUNTIF($I$2:$I2,"F"),0)))</f>
        <v>1</v>
      </c>
      <c r="E2" s="34">
        <v>21</v>
      </c>
      <c r="F2" s="56">
        <v>3.363425925925926E-2</v>
      </c>
      <c r="G2" s="36" t="s">
        <v>251</v>
      </c>
      <c r="H2" s="36" t="s">
        <v>2</v>
      </c>
      <c r="I2" s="37" t="s">
        <v>146</v>
      </c>
    </row>
    <row r="3" spans="1:9" x14ac:dyDescent="0.25">
      <c r="A3" s="26" t="str">
        <f>Table15678910[[#This Row],[Full Name]]</f>
        <v>SIDANI, Ramzi</v>
      </c>
      <c r="B3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29</v>
      </c>
      <c r="D3" s="7">
        <f>IF(Table15678910[[#This Row],[Category]]="","",IF(Table15678910[[#This Row],[Category]]="M",COUNTIF($I$2:$I3,"M"),IF(Table15678910[[#This Row],[Category]]="F",COUNTIF($I$2:$I3,"F"),0)))</f>
        <v>2</v>
      </c>
      <c r="E3" s="34">
        <v>30</v>
      </c>
      <c r="F3" s="56">
        <v>3.4212962962962966E-2</v>
      </c>
      <c r="G3" s="36" t="s">
        <v>252</v>
      </c>
      <c r="H3" s="36" t="s">
        <v>1</v>
      </c>
      <c r="I3" s="37" t="s">
        <v>146</v>
      </c>
    </row>
    <row r="4" spans="1:9" x14ac:dyDescent="0.25">
      <c r="A4" s="26" t="str">
        <f>Table15678910[[#This Row],[Full Name]]</f>
        <v>BOLTON, Ian</v>
      </c>
      <c r="B4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4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28</v>
      </c>
      <c r="D4" s="7">
        <f>IF(Table15678910[[#This Row],[Category]]="","",IF(Table15678910[[#This Row],[Category]]="M",COUNTIF($I$2:$I4,"M"),IF(Table15678910[[#This Row],[Category]]="F",COUNTIF($I$2:$I4,"F"),0)))</f>
        <v>3</v>
      </c>
      <c r="E4" s="34">
        <v>67</v>
      </c>
      <c r="F4" s="56">
        <v>3.6145833333333335E-2</v>
      </c>
      <c r="G4" s="36" t="s">
        <v>186</v>
      </c>
      <c r="H4" s="36" t="s">
        <v>5</v>
      </c>
      <c r="I4" s="37" t="s">
        <v>146</v>
      </c>
    </row>
    <row r="5" spans="1:9" x14ac:dyDescent="0.25">
      <c r="A5" s="26" t="str">
        <f>Table15678910[[#This Row],[Full Name]]</f>
        <v>HORN, Patrick</v>
      </c>
      <c r="B5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5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27</v>
      </c>
      <c r="D5" s="7">
        <f>IF(Table15678910[[#This Row],[Category]]="","",IF(Table15678910[[#This Row],[Category]]="M",COUNTIF($I$2:$I5,"M"),IF(Table15678910[[#This Row],[Category]]="F",COUNTIF($I$2:$I5,"F"),0)))</f>
        <v>4</v>
      </c>
      <c r="E5" s="34">
        <v>107</v>
      </c>
      <c r="F5" s="56">
        <v>3.8518518518518521E-2</v>
      </c>
      <c r="G5" s="36" t="s">
        <v>188</v>
      </c>
      <c r="H5" s="36" t="s">
        <v>46</v>
      </c>
      <c r="I5" s="37" t="s">
        <v>146</v>
      </c>
    </row>
    <row r="6" spans="1:9" x14ac:dyDescent="0.25">
      <c r="A6" s="26" t="str">
        <f>Table15678910[[#This Row],[Full Name]]</f>
        <v>MARTIN, Richard</v>
      </c>
      <c r="B6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6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26</v>
      </c>
      <c r="D6" s="7">
        <f>IF(Table15678910[[#This Row],[Category]]="","",IF(Table15678910[[#This Row],[Category]]="M",COUNTIF($I$2:$I6,"M"),IF(Table15678910[[#This Row],[Category]]="F",COUNTIF($I$2:$I6,"F"),0)))</f>
        <v>5</v>
      </c>
      <c r="E6" s="34">
        <v>118</v>
      </c>
      <c r="F6" s="56">
        <v>3.8935185185185184E-2</v>
      </c>
      <c r="G6" s="36" t="s">
        <v>253</v>
      </c>
      <c r="H6" s="36" t="s">
        <v>72</v>
      </c>
      <c r="I6" s="37" t="s">
        <v>146</v>
      </c>
    </row>
    <row r="7" spans="1:9" x14ac:dyDescent="0.25">
      <c r="A7" s="26" t="str">
        <f>Table15678910[[#This Row],[Full Name]]</f>
        <v>GILES, George</v>
      </c>
      <c r="B7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7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25</v>
      </c>
      <c r="D7" s="7">
        <f>IF(Table15678910[[#This Row],[Category]]="","",IF(Table15678910[[#This Row],[Category]]="M",COUNTIF($I$2:$I7,"M"),IF(Table15678910[[#This Row],[Category]]="F",COUNTIF($I$2:$I7,"F"),0)))</f>
        <v>6</v>
      </c>
      <c r="E7" s="34">
        <v>144</v>
      </c>
      <c r="F7" s="56">
        <v>4.0034722222222222E-2</v>
      </c>
      <c r="G7" s="36" t="s">
        <v>254</v>
      </c>
      <c r="H7" s="36" t="s">
        <v>128</v>
      </c>
      <c r="I7" s="37" t="s">
        <v>146</v>
      </c>
    </row>
    <row r="8" spans="1:9" x14ac:dyDescent="0.25">
      <c r="A8" s="26" t="str">
        <f>Table15678910[[#This Row],[Full Name]]</f>
        <v>MONAGHAN, Amelia</v>
      </c>
      <c r="B8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8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30</v>
      </c>
      <c r="D8" s="7">
        <f>IF(Table15678910[[#This Row],[Category]]="","",IF(Table15678910[[#This Row],[Category]]="M",COUNTIF($I$2:$I8,"M"),IF(Table15678910[[#This Row],[Category]]="F",COUNTIF($I$2:$I8,"F"),0)))</f>
        <v>1</v>
      </c>
      <c r="E8" s="34">
        <v>145</v>
      </c>
      <c r="F8" s="56">
        <v>4.0057870370370369E-2</v>
      </c>
      <c r="G8" s="36" t="s">
        <v>254</v>
      </c>
      <c r="H8" s="36" t="s">
        <v>93</v>
      </c>
      <c r="I8" s="37" t="s">
        <v>156</v>
      </c>
    </row>
    <row r="9" spans="1:9" x14ac:dyDescent="0.25">
      <c r="A9" s="26" t="str">
        <f>Table15678910[[#This Row],[Full Name]]</f>
        <v>PARKER, Emily</v>
      </c>
      <c r="B9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9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29</v>
      </c>
      <c r="D9" s="7">
        <f>IF(Table15678910[[#This Row],[Category]]="","",IF(Table15678910[[#This Row],[Category]]="M",COUNTIF($I$2:$I9,"M"),IF(Table15678910[[#This Row],[Category]]="F",COUNTIF($I$2:$I9,"F"),0)))</f>
        <v>2</v>
      </c>
      <c r="E9" s="34">
        <v>151</v>
      </c>
      <c r="F9" s="56">
        <v>4.0266203703703707E-2</v>
      </c>
      <c r="G9" s="36" t="s">
        <v>255</v>
      </c>
      <c r="H9" s="36" t="s">
        <v>256</v>
      </c>
      <c r="I9" s="37" t="s">
        <v>156</v>
      </c>
    </row>
    <row r="10" spans="1:9" x14ac:dyDescent="0.25">
      <c r="A10" s="26" t="str">
        <f>Table15678910[[#This Row],[Full Name]]</f>
        <v>HOUGH, Andy</v>
      </c>
      <c r="B10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0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24</v>
      </c>
      <c r="D10" s="7">
        <f>IF(Table15678910[[#This Row],[Category]]="","",IF(Table15678910[[#This Row],[Category]]="M",COUNTIF($I$2:$I10,"M"),IF(Table15678910[[#This Row],[Category]]="F",COUNTIF($I$2:$I10,"F"),0)))</f>
        <v>7</v>
      </c>
      <c r="E10" s="34">
        <v>184</v>
      </c>
      <c r="F10" s="56">
        <v>4.1678240740740738E-2</v>
      </c>
      <c r="G10" s="36" t="s">
        <v>257</v>
      </c>
      <c r="H10" s="36" t="s">
        <v>107</v>
      </c>
      <c r="I10" s="37" t="s">
        <v>146</v>
      </c>
    </row>
    <row r="11" spans="1:9" x14ac:dyDescent="0.25">
      <c r="A11" s="26" t="str">
        <f>Table15678910[[#This Row],[Full Name]]</f>
        <v>JOYCE, Matthew</v>
      </c>
      <c r="B11" s="28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1" s="28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23</v>
      </c>
      <c r="D11" s="7">
        <f>IF(Table15678910[[#This Row],[Category]]="","",IF(Table15678910[[#This Row],[Category]]="M",COUNTIF($I$2:$I11,"M"),IF(Table15678910[[#This Row],[Category]]="F",COUNTIF($I$2:$I11,"F"),0)))</f>
        <v>8</v>
      </c>
      <c r="E11" s="34">
        <v>209</v>
      </c>
      <c r="F11" s="56">
        <v>4.2592592592592592E-2</v>
      </c>
      <c r="G11" s="36" t="s">
        <v>196</v>
      </c>
      <c r="H11" s="36" t="s">
        <v>57</v>
      </c>
      <c r="I11" s="37" t="s">
        <v>146</v>
      </c>
    </row>
    <row r="12" spans="1:9" x14ac:dyDescent="0.25">
      <c r="A12" s="27" t="str">
        <f>Table15678910[[#This Row],[Full Name]]</f>
        <v>OSBORNE, Chris</v>
      </c>
      <c r="B12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2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22</v>
      </c>
      <c r="D12" s="7">
        <f>IF(Table15678910[[#This Row],[Category]]="","",IF(Table15678910[[#This Row],[Category]]="M",COUNTIF($I$2:$I12,"M"),IF(Table15678910[[#This Row],[Category]]="F",COUNTIF($I$2:$I12,"F"),0)))</f>
        <v>9</v>
      </c>
      <c r="E12" s="38">
        <v>222</v>
      </c>
      <c r="F12" s="56">
        <v>4.3194444444444445E-2</v>
      </c>
      <c r="G12" s="40" t="s">
        <v>258</v>
      </c>
      <c r="H12" s="40" t="s">
        <v>40</v>
      </c>
      <c r="I12" s="41" t="s">
        <v>146</v>
      </c>
    </row>
    <row r="13" spans="1:9" x14ac:dyDescent="0.25">
      <c r="A13" s="26" t="str">
        <f>Table15678910[[#This Row],[Full Name]]</f>
        <v>BLAND, Damon</v>
      </c>
      <c r="B13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3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21</v>
      </c>
      <c r="D13" s="69">
        <f>IF(Table15678910[[#This Row],[Category]]="","",IF(Table15678910[[#This Row],[Category]]="M",COUNTIF($I$2:$I13,"M"),IF(Table15678910[[#This Row],[Category]]="F",COUNTIF($I$2:$I13,"F"),0)))</f>
        <v>10</v>
      </c>
      <c r="E13" s="34">
        <v>233</v>
      </c>
      <c r="F13" s="56">
        <v>4.3645833333333335E-2</v>
      </c>
      <c r="G13" s="36" t="s">
        <v>259</v>
      </c>
      <c r="H13" s="36" t="s">
        <v>9</v>
      </c>
      <c r="I13" s="37" t="s">
        <v>146</v>
      </c>
    </row>
    <row r="14" spans="1:9" x14ac:dyDescent="0.25">
      <c r="A14" s="27" t="str">
        <f>Table15678910[[#This Row],[Full Name]]</f>
        <v>BRADFORD, Mark</v>
      </c>
      <c r="B14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4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20</v>
      </c>
      <c r="D14" s="7">
        <f>IF(Table15678910[[#This Row],[Category]]="","",IF(Table15678910[[#This Row],[Category]]="M",COUNTIF($I$2:$I14,"M"),IF(Table15678910[[#This Row],[Category]]="F",COUNTIF($I$2:$I14,"F"),0)))</f>
        <v>11</v>
      </c>
      <c r="E14" s="34">
        <v>231</v>
      </c>
      <c r="F14" s="56">
        <v>4.372685185185185E-2</v>
      </c>
      <c r="G14" s="36" t="s">
        <v>246</v>
      </c>
      <c r="H14" s="36" t="s">
        <v>7</v>
      </c>
      <c r="I14" s="37" t="s">
        <v>146</v>
      </c>
    </row>
    <row r="15" spans="1:9" x14ac:dyDescent="0.25">
      <c r="A15" s="27" t="str">
        <f>Table15678910[[#This Row],[Full Name]]</f>
        <v>ALLSOP, Andrew</v>
      </c>
      <c r="B15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5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19</v>
      </c>
      <c r="D15" s="7">
        <f>IF(Table15678910[[#This Row],[Category]]="","",IF(Table15678910[[#This Row],[Category]]="M",COUNTIF($I$2:$I15,"M"),IF(Table15678910[[#This Row],[Category]]="F",COUNTIF($I$2:$I15,"F"),0)))</f>
        <v>12</v>
      </c>
      <c r="E15" s="34">
        <v>232</v>
      </c>
      <c r="F15" s="56">
        <v>4.3773148148148151E-2</v>
      </c>
      <c r="G15" s="36" t="s">
        <v>246</v>
      </c>
      <c r="H15" s="36" t="s">
        <v>177</v>
      </c>
      <c r="I15" s="37" t="s">
        <v>146</v>
      </c>
    </row>
    <row r="16" spans="1:9" x14ac:dyDescent="0.25">
      <c r="A16" s="27" t="str">
        <f>Table15678910[[#This Row],[Full Name]]</f>
        <v>ASHTON, Mindy</v>
      </c>
      <c r="B16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6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28</v>
      </c>
      <c r="D16" s="7">
        <f>IF(Table15678910[[#This Row],[Category]]="","",IF(Table15678910[[#This Row],[Category]]="M",COUNTIF($I$2:$I16,"M"),IF(Table15678910[[#This Row],[Category]]="F",COUNTIF($I$2:$I16,"F"),0)))</f>
        <v>3</v>
      </c>
      <c r="E16" s="34">
        <v>256</v>
      </c>
      <c r="F16" s="56">
        <v>4.4479166666666667E-2</v>
      </c>
      <c r="G16" s="36" t="s">
        <v>260</v>
      </c>
      <c r="H16" s="36" t="s">
        <v>52</v>
      </c>
      <c r="I16" s="37" t="s">
        <v>156</v>
      </c>
    </row>
    <row r="17" spans="1:9" x14ac:dyDescent="0.25">
      <c r="A17" s="27" t="str">
        <f>Table15678910[[#This Row],[Full Name]]</f>
        <v>LAWLESS, Sandra</v>
      </c>
      <c r="B17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7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27</v>
      </c>
      <c r="D17" s="7">
        <f>IF(Table15678910[[#This Row],[Category]]="","",IF(Table15678910[[#This Row],[Category]]="M",COUNTIF($I$2:$I17,"M"),IF(Table15678910[[#This Row],[Category]]="F",COUNTIF($I$2:$I17,"F"),0)))</f>
        <v>4</v>
      </c>
      <c r="E17" s="34">
        <v>272</v>
      </c>
      <c r="F17" s="56">
        <v>4.4988425925925925E-2</v>
      </c>
      <c r="G17" s="36" t="s">
        <v>261</v>
      </c>
      <c r="H17" s="36" t="s">
        <v>66</v>
      </c>
      <c r="I17" s="37" t="s">
        <v>156</v>
      </c>
    </row>
    <row r="18" spans="1:9" x14ac:dyDescent="0.25">
      <c r="A18" s="27" t="str">
        <f>Table15678910[[#This Row],[Full Name]]</f>
        <v>KIRK, Ian</v>
      </c>
      <c r="B18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8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18</v>
      </c>
      <c r="D18" s="7">
        <f>IF(Table15678910[[#This Row],[Category]]="","",IF(Table15678910[[#This Row],[Category]]="M",COUNTIF($I$2:$I18,"M"),IF(Table15678910[[#This Row],[Category]]="F",COUNTIF($I$2:$I18,"F"),0)))</f>
        <v>13</v>
      </c>
      <c r="E18" s="34">
        <v>295</v>
      </c>
      <c r="F18" s="56">
        <v>4.5775462962962962E-2</v>
      </c>
      <c r="G18" s="36" t="s">
        <v>262</v>
      </c>
      <c r="H18" s="36" t="s">
        <v>263</v>
      </c>
      <c r="I18" s="37" t="s">
        <v>146</v>
      </c>
    </row>
    <row r="19" spans="1:9" x14ac:dyDescent="0.25">
      <c r="A19" s="27" t="str">
        <f>Table15678910[[#This Row],[Full Name]]</f>
        <v>OSBORNE, Carolyn</v>
      </c>
      <c r="B19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19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26</v>
      </c>
      <c r="D19" s="7">
        <f>IF(Table15678910[[#This Row],[Category]]="","",IF(Table15678910[[#This Row],[Category]]="M",COUNTIF($I$2:$I19,"M"),IF(Table15678910[[#This Row],[Category]]="F",COUNTIF($I$2:$I19,"F"),0)))</f>
        <v>5</v>
      </c>
      <c r="E19" s="34">
        <v>306</v>
      </c>
      <c r="F19" s="56">
        <v>4.6249999999999999E-2</v>
      </c>
      <c r="G19" s="36" t="s">
        <v>218</v>
      </c>
      <c r="H19" s="36" t="s">
        <v>12</v>
      </c>
      <c r="I19" s="37" t="s">
        <v>156</v>
      </c>
    </row>
    <row r="20" spans="1:9" x14ac:dyDescent="0.25">
      <c r="A20" s="27" t="str">
        <f>Table15678910[[#This Row],[Full Name]]</f>
        <v>WOOD, Clare</v>
      </c>
      <c r="B20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0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25</v>
      </c>
      <c r="D20" s="7">
        <f>IF(Table15678910[[#This Row],[Category]]="","",IF(Table15678910[[#This Row],[Category]]="M",COUNTIF($I$2:$I20,"M"),IF(Table15678910[[#This Row],[Category]]="F",COUNTIF($I$2:$I20,"F"),0)))</f>
        <v>6</v>
      </c>
      <c r="E20" s="34">
        <v>307</v>
      </c>
      <c r="F20" s="56">
        <v>4.6249999999999999E-2</v>
      </c>
      <c r="G20" s="36" t="s">
        <v>218</v>
      </c>
      <c r="H20" s="36" t="s">
        <v>100</v>
      </c>
      <c r="I20" s="37" t="s">
        <v>156</v>
      </c>
    </row>
    <row r="21" spans="1:9" x14ac:dyDescent="0.25">
      <c r="A21" s="27" t="str">
        <f>Table15678910[[#This Row],[Full Name]]</f>
        <v>TILBURY, Lindsay</v>
      </c>
      <c r="B21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1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24</v>
      </c>
      <c r="D21" s="7">
        <f>IF(Table15678910[[#This Row],[Category]]="","",IF(Table15678910[[#This Row],[Category]]="M",COUNTIF($I$2:$I21,"M"),IF(Table15678910[[#This Row],[Category]]="F",COUNTIF($I$2:$I21,"F"),0)))</f>
        <v>7</v>
      </c>
      <c r="E21" s="34">
        <v>316</v>
      </c>
      <c r="F21" s="56">
        <v>4.6631944444444441E-2</v>
      </c>
      <c r="G21" s="36" t="s">
        <v>264</v>
      </c>
      <c r="H21" s="36" t="s">
        <v>75</v>
      </c>
      <c r="I21" s="37" t="s">
        <v>156</v>
      </c>
    </row>
    <row r="22" spans="1:9" x14ac:dyDescent="0.25">
      <c r="A22" s="27" t="str">
        <f>Table15678910[[#This Row],[Full Name]]</f>
        <v>GRAVES, Laura</v>
      </c>
      <c r="B22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2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23</v>
      </c>
      <c r="D22" s="7">
        <f>IF(Table15678910[[#This Row],[Category]]="","",IF(Table15678910[[#This Row],[Category]]="M",COUNTIF($I$2:$I22,"M"),IF(Table15678910[[#This Row],[Category]]="F",COUNTIF($I$2:$I22,"F"),0)))</f>
        <v>8</v>
      </c>
      <c r="E22" s="34">
        <v>323</v>
      </c>
      <c r="F22" s="56">
        <v>4.6898148148148147E-2</v>
      </c>
      <c r="G22" s="36" t="s">
        <v>173</v>
      </c>
      <c r="H22" s="36" t="s">
        <v>13</v>
      </c>
      <c r="I22" s="37" t="s">
        <v>156</v>
      </c>
    </row>
    <row r="23" spans="1:9" x14ac:dyDescent="0.25">
      <c r="A23" s="27" t="str">
        <f>Table15678910[[#This Row],[Full Name]]</f>
        <v>TURNER, Sophie</v>
      </c>
      <c r="B23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3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22</v>
      </c>
      <c r="D23" s="7">
        <f>IF(Table15678910[[#This Row],[Category]]="","",IF(Table15678910[[#This Row],[Category]]="M",COUNTIF($I$2:$I23,"M"),IF(Table15678910[[#This Row],[Category]]="F",COUNTIF($I$2:$I23,"F"),0)))</f>
        <v>9</v>
      </c>
      <c r="E23" s="34">
        <v>345</v>
      </c>
      <c r="F23" s="56">
        <v>4.8055555555555553E-2</v>
      </c>
      <c r="G23" s="36" t="s">
        <v>265</v>
      </c>
      <c r="H23" s="36" t="s">
        <v>127</v>
      </c>
      <c r="I23" s="37" t="s">
        <v>156</v>
      </c>
    </row>
    <row r="24" spans="1:9" x14ac:dyDescent="0.25">
      <c r="A24" s="27" t="str">
        <f>Table15678910[[#This Row],[Full Name]]</f>
        <v>COLE, Andy</v>
      </c>
      <c r="B24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4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17</v>
      </c>
      <c r="D24" s="7">
        <f>IF(Table15678910[[#This Row],[Category]]="","",IF(Table15678910[[#This Row],[Category]]="M",COUNTIF($I$2:$I24,"M"),IF(Table15678910[[#This Row],[Category]]="F",COUNTIF($I$2:$I24,"F"),0)))</f>
        <v>14</v>
      </c>
      <c r="E24" s="34">
        <v>412</v>
      </c>
      <c r="F24" s="56">
        <v>5.0879629629629629E-2</v>
      </c>
      <c r="G24" s="36" t="s">
        <v>204</v>
      </c>
      <c r="H24" s="36" t="s">
        <v>74</v>
      </c>
      <c r="I24" s="37" t="s">
        <v>146</v>
      </c>
    </row>
    <row r="25" spans="1:9" ht="15" customHeight="1" x14ac:dyDescent="0.25">
      <c r="A25" s="27" t="str">
        <f>Table15678910[[#This Row],[Full Name]]</f>
        <v>POWDRILL, Neil</v>
      </c>
      <c r="B25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5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16</v>
      </c>
      <c r="D25" s="7">
        <f>IF(Table15678910[[#This Row],[Category]]="","",IF(Table15678910[[#This Row],[Category]]="M",COUNTIF($I$2:$I25,"M"),IF(Table15678910[[#This Row],[Category]]="F",COUNTIF($I$2:$I25,"F"),0)))</f>
        <v>15</v>
      </c>
      <c r="E25" s="34">
        <v>428</v>
      </c>
      <c r="F25" s="56">
        <v>5.1493055555555556E-2</v>
      </c>
      <c r="G25" s="36" t="s">
        <v>266</v>
      </c>
      <c r="H25" s="36" t="s">
        <v>222</v>
      </c>
      <c r="I25" s="37" t="s">
        <v>146</v>
      </c>
    </row>
    <row r="26" spans="1:9" x14ac:dyDescent="0.25">
      <c r="A26" s="27" t="str">
        <f>Table15678910[[#This Row],[Full Name]]</f>
        <v>BENNION, Nancy</v>
      </c>
      <c r="B26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6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21</v>
      </c>
      <c r="D26" s="7">
        <f>IF(Table15678910[[#This Row],[Category]]="","",IF(Table15678910[[#This Row],[Category]]="M",COUNTIF($I$2:$I26,"M"),IF(Table15678910[[#This Row],[Category]]="F",COUNTIF($I$2:$I26,"F"),0)))</f>
        <v>10</v>
      </c>
      <c r="E26" s="34">
        <v>439</v>
      </c>
      <c r="F26" s="56">
        <v>5.2094907407407409E-2</v>
      </c>
      <c r="G26" s="36" t="s">
        <v>267</v>
      </c>
      <c r="H26" s="36" t="s">
        <v>50</v>
      </c>
      <c r="I26" s="37" t="s">
        <v>156</v>
      </c>
    </row>
    <row r="27" spans="1:9" x14ac:dyDescent="0.25">
      <c r="A27" s="27" t="str">
        <f>Table15678910[[#This Row],[Full Name]]</f>
        <v>MUMMERY, Ismay</v>
      </c>
      <c r="B27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7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20</v>
      </c>
      <c r="D27" s="7">
        <f>IF(Table15678910[[#This Row],[Category]]="","",IF(Table15678910[[#This Row],[Category]]="M",COUNTIF($I$2:$I27,"M"),IF(Table15678910[[#This Row],[Category]]="F",COUNTIF($I$2:$I27,"F"),0)))</f>
        <v>11</v>
      </c>
      <c r="E27" s="34">
        <v>456</v>
      </c>
      <c r="F27" s="56">
        <v>5.3009259259259256E-2</v>
      </c>
      <c r="G27" s="36" t="s">
        <v>268</v>
      </c>
      <c r="H27" s="36" t="s">
        <v>168</v>
      </c>
      <c r="I27" s="37" t="s">
        <v>156</v>
      </c>
    </row>
    <row r="28" spans="1:9" x14ac:dyDescent="0.25">
      <c r="A28" s="27" t="str">
        <f>Table15678910[[#This Row],[Full Name]]</f>
        <v>STURLA, Tim</v>
      </c>
      <c r="B28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8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15</v>
      </c>
      <c r="D28" s="7">
        <f>IF(Table15678910[[#This Row],[Category]]="","",IF(Table15678910[[#This Row],[Category]]="M",COUNTIF($I$2:$I28,"M"),IF(Table15678910[[#This Row],[Category]]="F",COUNTIF($I$2:$I28,"F"),0)))</f>
        <v>16</v>
      </c>
      <c r="E28" s="34">
        <v>468</v>
      </c>
      <c r="F28" s="56">
        <v>5.3171296296296293E-2</v>
      </c>
      <c r="G28" s="36" t="s">
        <v>269</v>
      </c>
      <c r="H28" s="36" t="s">
        <v>78</v>
      </c>
      <c r="I28" s="37" t="s">
        <v>146</v>
      </c>
    </row>
    <row r="29" spans="1:9" x14ac:dyDescent="0.25">
      <c r="A29" s="27" t="str">
        <f>Table15678910[[#This Row],[Full Name]]</f>
        <v>HEITMANN, Laura</v>
      </c>
      <c r="B29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29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19</v>
      </c>
      <c r="D29" s="7">
        <f>IF(Table15678910[[#This Row],[Category]]="","",IF(Table15678910[[#This Row],[Category]]="M",COUNTIF($I$2:$I29,"M"),IF(Table15678910[[#This Row],[Category]]="F",COUNTIF($I$2:$I29,"F"),0)))</f>
        <v>12</v>
      </c>
      <c r="E29" s="34">
        <v>493</v>
      </c>
      <c r="F29" s="56">
        <v>5.4791666666666669E-2</v>
      </c>
      <c r="G29" s="36" t="s">
        <v>154</v>
      </c>
      <c r="H29" s="36" t="s">
        <v>240</v>
      </c>
      <c r="I29" s="37" t="s">
        <v>156</v>
      </c>
    </row>
    <row r="30" spans="1:9" x14ac:dyDescent="0.25">
      <c r="A30" s="27" t="str">
        <f>Table15678910[[#This Row],[Full Name]]</f>
        <v>ATKINSON, Matt</v>
      </c>
      <c r="B30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0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14</v>
      </c>
      <c r="D30" s="7">
        <f>IF(Table15678910[[#This Row],[Category]]="","",IF(Table15678910[[#This Row],[Category]]="M",COUNTIF($I$2:$I30,"M"),IF(Table15678910[[#This Row],[Category]]="F",COUNTIF($I$2:$I30,"F"),0)))</f>
        <v>17</v>
      </c>
      <c r="E30" s="34">
        <v>514</v>
      </c>
      <c r="F30" s="56">
        <v>5.6006944444444443E-2</v>
      </c>
      <c r="G30" s="36" t="s">
        <v>270</v>
      </c>
      <c r="H30" s="36" t="s">
        <v>244</v>
      </c>
      <c r="I30" s="37" t="s">
        <v>146</v>
      </c>
    </row>
    <row r="31" spans="1:9" x14ac:dyDescent="0.25">
      <c r="A31" s="27" t="str">
        <f>Table15678910[[#This Row],[Full Name]]</f>
        <v>SHAW, Gemma</v>
      </c>
      <c r="B31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1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18</v>
      </c>
      <c r="D31" s="7">
        <f>IF(Table15678910[[#This Row],[Category]]="","",IF(Table15678910[[#This Row],[Category]]="M",COUNTIF($I$2:$I31,"M"),IF(Table15678910[[#This Row],[Category]]="F",COUNTIF($I$2:$I31,"F"),0)))</f>
        <v>13</v>
      </c>
      <c r="E31" s="34">
        <v>519</v>
      </c>
      <c r="F31" s="56">
        <v>5.6805555555555554E-2</v>
      </c>
      <c r="G31" s="36" t="s">
        <v>271</v>
      </c>
      <c r="H31" s="36" t="s">
        <v>21</v>
      </c>
      <c r="I31" s="37" t="s">
        <v>156</v>
      </c>
    </row>
    <row r="32" spans="1:9" x14ac:dyDescent="0.25">
      <c r="A32" s="27" t="str">
        <f>Table15678910[[#This Row],[Full Name]]</f>
        <v>AVERILLO, Paul</v>
      </c>
      <c r="B32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2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13</v>
      </c>
      <c r="D32" s="7">
        <f>IF(Table15678910[[#This Row],[Category]]="","",IF(Table15678910[[#This Row],[Category]]="M",COUNTIF($I$2:$I32,"M"),IF(Table15678910[[#This Row],[Category]]="F",COUNTIF($I$2:$I32,"F"),0)))</f>
        <v>18</v>
      </c>
      <c r="E32" s="34">
        <v>520</v>
      </c>
      <c r="F32" s="56">
        <v>5.6828703703703701E-2</v>
      </c>
      <c r="G32" s="36" t="s">
        <v>271</v>
      </c>
      <c r="H32" s="36" t="s">
        <v>54</v>
      </c>
      <c r="I32" s="37" t="s">
        <v>146</v>
      </c>
    </row>
    <row r="33" spans="1:9" x14ac:dyDescent="0.25">
      <c r="A33" s="27" t="str">
        <f>Table15678910[[#This Row],[Full Name]]</f>
        <v>BOLTON, Ellen</v>
      </c>
      <c r="B33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3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17</v>
      </c>
      <c r="D33" s="7">
        <f>IF(Table15678910[[#This Row],[Category]]="","",IF(Table15678910[[#This Row],[Category]]="M",COUNTIF($I$2:$I33,"M"),IF(Table15678910[[#This Row],[Category]]="F",COUNTIF($I$2:$I33,"F"),0)))</f>
        <v>14</v>
      </c>
      <c r="E33" s="34">
        <v>572</v>
      </c>
      <c r="F33" s="56">
        <v>6.1261574074074072E-2</v>
      </c>
      <c r="G33" s="36" t="s">
        <v>272</v>
      </c>
      <c r="H33" s="36" t="s">
        <v>133</v>
      </c>
      <c r="I33" s="37" t="s">
        <v>156</v>
      </c>
    </row>
    <row r="34" spans="1:9" x14ac:dyDescent="0.25">
      <c r="A34" s="27" t="str">
        <f>Table15678910[[#This Row],[Full Name]]</f>
        <v>HILL, Simon</v>
      </c>
      <c r="B34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4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12</v>
      </c>
      <c r="D34" s="7">
        <f>IF(Table15678910[[#This Row],[Category]]="","",IF(Table15678910[[#This Row],[Category]]="M",COUNTIF($I$2:$I34,"M"),IF(Table15678910[[#This Row],[Category]]="F",COUNTIF($I$2:$I34,"F"),0)))</f>
        <v>19</v>
      </c>
      <c r="E34" s="34">
        <v>612</v>
      </c>
      <c r="F34" s="56">
        <v>6.7696759259259262E-2</v>
      </c>
      <c r="G34" s="36" t="s">
        <v>273</v>
      </c>
      <c r="H34" s="36" t="s">
        <v>274</v>
      </c>
      <c r="I34" s="37" t="s">
        <v>146</v>
      </c>
    </row>
    <row r="35" spans="1:9" x14ac:dyDescent="0.25">
      <c r="A35" s="27" t="str">
        <f>Table15678910[[#This Row],[Full Name]]</f>
        <v>CROSS, Jeff</v>
      </c>
      <c r="B35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5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11</v>
      </c>
      <c r="D35" s="7">
        <f>IF(Table15678910[[#This Row],[Category]]="","",IF(Table15678910[[#This Row],[Category]]="M",COUNTIF($I$2:$I35,"M"),IF(Table15678910[[#This Row],[Category]]="F",COUNTIF($I$2:$I35,"F"),0)))</f>
        <v>20</v>
      </c>
      <c r="E35" s="34">
        <v>613</v>
      </c>
      <c r="F35" s="56">
        <v>6.8090277777777777E-2</v>
      </c>
      <c r="G35" s="36" t="s">
        <v>275</v>
      </c>
      <c r="H35" s="36" t="s">
        <v>101</v>
      </c>
      <c r="I35" s="37" t="s">
        <v>146</v>
      </c>
    </row>
    <row r="36" spans="1:9" x14ac:dyDescent="0.25">
      <c r="A36" s="27" t="str">
        <f>Table15678910[[#This Row],[Full Name]]</f>
        <v>HENFREY, Julie</v>
      </c>
      <c r="B36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>OK</v>
      </c>
      <c r="C36" s="29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>16</v>
      </c>
      <c r="D36" s="7">
        <f>IF(Table15678910[[#This Row],[Category]]="","",IF(Table15678910[[#This Row],[Category]]="M",COUNTIF($I$2:$I36,"M"),IF(Table15678910[[#This Row],[Category]]="F",COUNTIF($I$2:$I36,"F"),0)))</f>
        <v>15</v>
      </c>
      <c r="E36" s="34">
        <v>639</v>
      </c>
      <c r="F36" s="56">
        <v>8.1597222222222224E-2</v>
      </c>
      <c r="G36" s="36" t="s">
        <v>276</v>
      </c>
      <c r="H36" s="36" t="s">
        <v>16</v>
      </c>
      <c r="I36" s="37" t="s">
        <v>156</v>
      </c>
    </row>
    <row r="37" spans="1:9" x14ac:dyDescent="0.25">
      <c r="A37" s="27">
        <f>Table15678910[[#This Row],[Full Name]]</f>
        <v>0</v>
      </c>
      <c r="B37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7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7" s="7" t="str">
        <f>IF(Table15678910[[#This Row],[Category]]="","",IF(Table15678910[[#This Row],[Category]]="M",COUNTIF($I$2:$I37,"M"),IF(Table15678910[[#This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Table15678910[[#This Row],[Full Name]]</f>
        <v>0</v>
      </c>
      <c r="B38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8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8" s="7" t="str">
        <f>IF(Table15678910[[#This Row],[Category]]="","",IF(Table15678910[[#This Row],[Category]]="M",COUNTIF($I$2:$I38,"M"),IF(Table15678910[[#This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Table15678910[[#This Row],[Full Name]]</f>
        <v>0</v>
      </c>
      <c r="B39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39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39" s="7" t="str">
        <f>IF(Table15678910[[#This Row],[Category]]="","",IF(Table15678910[[#This Row],[Category]]="M",COUNTIF($I$2:$I39,"M"),IF(Table15678910[[#This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Table15678910[[#This Row],[Full Name]]</f>
        <v>0</v>
      </c>
      <c r="B40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0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0" s="7" t="str">
        <f>IF(Table15678910[[#This Row],[Category]]="","",IF(Table15678910[[#This Row],[Category]]="M",COUNTIF($I$2:$I40,"M"),IF(Table15678910[[#This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Table15678910[[#This Row],[Full Name]]</f>
        <v>0</v>
      </c>
      <c r="B41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1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1" s="7" t="str">
        <f>IF(Table15678910[[#This Row],[Category]]="","",IF(Table15678910[[#This Row],[Category]]="M",COUNTIF($I$2:$I41,"M"),IF(Table15678910[[#This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Table15678910[[#This Row],[Full Name]]</f>
        <v>0</v>
      </c>
      <c r="B42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2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2" s="7" t="str">
        <f>IF(Table15678910[[#This Row],[Category]]="","",IF(Table15678910[[#This Row],[Category]]="M",COUNTIF($I$2:$I42,"M"),IF(Table15678910[[#This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Table15678910[[#This Row],[Full Name]]</f>
        <v>0</v>
      </c>
      <c r="B43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3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3" s="7" t="str">
        <f>IF(Table15678910[[#This Row],[Category]]="","",IF(Table15678910[[#This Row],[Category]]="M",COUNTIF($I$2:$I43,"M"),IF(Table15678910[[#This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Table15678910[[#This Row],[Full Name]]</f>
        <v>0</v>
      </c>
      <c r="B44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4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4" s="7" t="str">
        <f>IF(Table15678910[[#This Row],[Category]]="","",IF(Table15678910[[#This Row],[Category]]="M",COUNTIF($I$2:$I44,"M"),IF(Table15678910[[#This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Table15678910[[#This Row],[Full Name]]</f>
        <v>0</v>
      </c>
      <c r="B45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5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5" s="7" t="str">
        <f>IF(Table15678910[[#This Row],[Category]]="","",IF(Table15678910[[#This Row],[Category]]="M",COUNTIF($I$2:$I45,"M"),IF(Table15678910[[#This Row],[Category]]="F",COUNTIF($I$2:$I45,"F"),0)))</f>
        <v/>
      </c>
      <c r="E45" s="34"/>
      <c r="F45" s="56"/>
      <c r="G45" s="36"/>
      <c r="H45" s="36"/>
      <c r="I45" s="37"/>
    </row>
    <row r="46" spans="1:9" ht="15" customHeight="1" x14ac:dyDescent="0.25">
      <c r="A46" s="27">
        <f>Table15678910[[#This Row],[Full Name]]</f>
        <v>0</v>
      </c>
      <c r="B46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6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6" s="7" t="str">
        <f>IF(Table15678910[[#This Row],[Category]]="","",IF(Table15678910[[#This Row],[Category]]="M",COUNTIF($I$2:$I46,"M"),IF(Table15678910[[#This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Table15678910[[#This Row],[Full Name]]</f>
        <v>0</v>
      </c>
      <c r="B47" s="29" t="str">
        <f>IF(Table15678910[[#This Row],[Full Name]]="","",IF(IFERROR(IFERROR(VLOOKUP(Table15678910[[#This Row],[Full Name]],'Mens League'!B:B,1,FALSE),VLOOKUP(Table15678910[[#This Row],[Full Name]],'Women''s League'!B:B,1,FALSE)),"NEEDS ADDING")="NEEDS ADDING","NEEDS ADDING","OK"))</f>
        <v/>
      </c>
      <c r="C47" s="29" t="str">
        <f>IF(Table15678910[[#This Row],[Position]]="","",IF(Table15678910[[#This Row],[Rank]]=1,30,IF(Table15678910[[#This Row],[Rank]]=2,29,IF(Table15678910[[#This Row],[Rank]]=3,28,IF(Table15678910[[#This Row],[Rank]]=4,27,IF(Table15678910[[#This Row],[Rank]]=5,26,IF(Table15678910[[#This Row],[Rank]]=6,25,IF(Table15678910[[#This Row],[Rank]]=7,24,IF(Table15678910[[#This Row],[Rank]]=8,23,IF(Table15678910[[#This Row],[Rank]]=9,22,IF(Table15678910[[#This Row],[Rank]]=10,21,IF(Table15678910[[#This Row],[Rank]]=11,20,IF(Table15678910[[#This Row],[Rank]]=12,19,IF(Table15678910[[#This Row],[Rank]]=13,18,IF(Table15678910[[#This Row],[Rank]]=14,17,IF(Table15678910[[#This Row],[Rank]]=15,16,IF(Table15678910[[#This Row],[Rank]]=16,15,IF(Table15678910[[#This Row],[Rank]]=17,14,IF(Table15678910[[#This Row],[Rank]]=18,13,IF(Table15678910[[#This Row],[Rank]]=19,12,IF(Table15678910[[#This Row],[Rank]]=20,11,IF(Table15678910[[#This Row],[Rank]]=21,10,IF(Table15678910[[#This Row],[Rank]]=22,9,IF(Table15678910[[#This Row],[Rank]]=23,8,IF(Table15678910[[#This Row],[Rank]]=24,7,IF(Table15678910[[#This Row],[Rank]]=25,6,IF(Table15678910[[#This Row],[Rank]]=26,5,IF(Table15678910[[#This Row],[Rank]]=27,4,IF(Table15678910[[#This Row],[Rank]]=28,3,IF(Table15678910[[#This Row],[Rank]]=29,2,IF(Table15678910[[#This Row],[Rank]]=30,1,0)))))))))))))))))))))))))))))))</f>
        <v/>
      </c>
      <c r="D47" s="7" t="str">
        <f>IF(Table15678910[[#This Row],[Category]]="","",IF(Table15678910[[#This Row],[Category]]="M",COUNTIF($I$2:$I47,"M"),IF(Table15678910[[#This Row],[Category]]="F",COUNTIF($I$2:$I47,"F"),0)))</f>
        <v/>
      </c>
      <c r="E47" s="34"/>
      <c r="F47" s="56"/>
      <c r="G47" s="36"/>
      <c r="H47" s="36"/>
      <c r="I47" s="37"/>
    </row>
  </sheetData>
  <phoneticPr fontId="11" type="noConversion"/>
  <conditionalFormatting sqref="B2:B47">
    <cfRule type="containsText" dxfId="29" priority="1" operator="containsText" text="OK">
      <formula>NOT(ISERROR(SEARCH("OK",B2)))</formula>
    </cfRule>
    <cfRule type="containsText" dxfId="28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9E18-35EE-4E8C-8DAF-D67DC498D1EC}">
  <sheetPr>
    <tabColor rgb="FF00B0F0"/>
  </sheetPr>
  <dimension ref="A1:I48"/>
  <sheetViews>
    <sheetView topLeftCell="B1" workbookViewId="0">
      <selection activeCell="H13" sqref="H13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Table156789[[#This Row],[Full Name]]</f>
        <v>PARKER, Mark</v>
      </c>
      <c r="B2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2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30</v>
      </c>
      <c r="D2" s="7">
        <f>IF(Table156789[[#This Row],[Category]]="","",IF(Table156789[[#This Row],[Category]]="M",COUNTIF($I$2:$I2,"M"),IF(Table156789[[#This Row],[Category]]="F",COUNTIF($I$2:$I2,"F"),0)))</f>
        <v>1</v>
      </c>
      <c r="E2" s="34">
        <v>15</v>
      </c>
      <c r="F2" s="56">
        <v>5.6574074074074075E-2</v>
      </c>
      <c r="G2" s="36" t="s">
        <v>277</v>
      </c>
      <c r="H2" s="36" t="s">
        <v>2</v>
      </c>
      <c r="I2" s="37" t="s">
        <v>146</v>
      </c>
    </row>
    <row r="3" spans="1:9" x14ac:dyDescent="0.25">
      <c r="A3" s="26" t="str">
        <f>Table156789[[#This Row],[Full Name]]</f>
        <v>WIDEMAN, Karl</v>
      </c>
      <c r="B3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3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29</v>
      </c>
      <c r="D3" s="7">
        <f>IF(Table156789[[#This Row],[Category]]="","",IF(Table156789[[#This Row],[Category]]="M",COUNTIF($I$2:$I3,"M"),IF(Table156789[[#This Row],[Category]]="F",COUNTIF($I$2:$I3,"F"),0)))</f>
        <v>2</v>
      </c>
      <c r="E3" s="34">
        <v>54</v>
      </c>
      <c r="F3" s="56">
        <v>6.0995370370370373E-2</v>
      </c>
      <c r="G3" s="36" t="s">
        <v>278</v>
      </c>
      <c r="H3" s="36" t="s">
        <v>3</v>
      </c>
      <c r="I3" s="37" t="s">
        <v>146</v>
      </c>
    </row>
    <row r="4" spans="1:9" x14ac:dyDescent="0.25">
      <c r="A4" s="26" t="str">
        <f>Table156789[[#This Row],[Full Name]]</f>
        <v>BADEN, Rob</v>
      </c>
      <c r="B4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4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28</v>
      </c>
      <c r="D4" s="7">
        <f>IF(Table156789[[#This Row],[Category]]="","",IF(Table156789[[#This Row],[Category]]="M",COUNTIF($I$2:$I4,"M"),IF(Table156789[[#This Row],[Category]]="F",COUNTIF($I$2:$I4,"F"),0)))</f>
        <v>3</v>
      </c>
      <c r="E4" s="34">
        <v>60</v>
      </c>
      <c r="F4" s="56">
        <v>6.1493055555555558E-2</v>
      </c>
      <c r="G4" s="36" t="s">
        <v>279</v>
      </c>
      <c r="H4" s="36" t="s">
        <v>103</v>
      </c>
      <c r="I4" s="37" t="s">
        <v>146</v>
      </c>
    </row>
    <row r="5" spans="1:9" x14ac:dyDescent="0.25">
      <c r="A5" s="26" t="str">
        <f>Table156789[[#This Row],[Full Name]]</f>
        <v>HORN, Patrick</v>
      </c>
      <c r="B5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5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27</v>
      </c>
      <c r="D5" s="7">
        <f>IF(Table156789[[#This Row],[Category]]="","",IF(Table156789[[#This Row],[Category]]="M",COUNTIF($I$2:$I5,"M"),IF(Table156789[[#This Row],[Category]]="F",COUNTIF($I$2:$I5,"F"),0)))</f>
        <v>4</v>
      </c>
      <c r="E5" s="34">
        <v>88</v>
      </c>
      <c r="F5" s="56">
        <v>6.4791666666666664E-2</v>
      </c>
      <c r="G5" s="36" t="s">
        <v>280</v>
      </c>
      <c r="H5" s="36" t="s">
        <v>46</v>
      </c>
      <c r="I5" s="37" t="s">
        <v>146</v>
      </c>
    </row>
    <row r="6" spans="1:9" ht="29.25" x14ac:dyDescent="0.25">
      <c r="A6" s="26" t="str">
        <f>Table156789[[#This Row],[Full Name]]</f>
        <v>BLADON-COPE, Daniel</v>
      </c>
      <c r="B6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6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26</v>
      </c>
      <c r="D6" s="7">
        <f>IF(Table156789[[#This Row],[Category]]="","",IF(Table156789[[#This Row],[Category]]="M",COUNTIF($I$2:$I6,"M"),IF(Table156789[[#This Row],[Category]]="F",COUNTIF($I$2:$I6,"F"),0)))</f>
        <v>5</v>
      </c>
      <c r="E6" s="34">
        <v>95</v>
      </c>
      <c r="F6" s="56">
        <v>6.5092592592592591E-2</v>
      </c>
      <c r="G6" s="36" t="s">
        <v>281</v>
      </c>
      <c r="H6" s="36" t="s">
        <v>282</v>
      </c>
      <c r="I6" s="37" t="s">
        <v>146</v>
      </c>
    </row>
    <row r="7" spans="1:9" ht="29.25" x14ac:dyDescent="0.25">
      <c r="A7" s="26" t="str">
        <f>Table156789[[#This Row],[Full Name]]</f>
        <v>BLADON-COPE, Jordan</v>
      </c>
      <c r="B7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7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25</v>
      </c>
      <c r="D7" s="7">
        <f>IF(Table156789[[#This Row],[Category]]="","",IF(Table156789[[#This Row],[Category]]="M",COUNTIF($I$2:$I7,"M"),IF(Table156789[[#This Row],[Category]]="F",COUNTIF($I$2:$I7,"F"),0)))</f>
        <v>6</v>
      </c>
      <c r="E7" s="34">
        <v>112</v>
      </c>
      <c r="F7" s="56">
        <v>6.6215277777777776E-2</v>
      </c>
      <c r="G7" s="36" t="s">
        <v>212</v>
      </c>
      <c r="H7" s="36" t="s">
        <v>283</v>
      </c>
      <c r="I7" s="37" t="s">
        <v>146</v>
      </c>
    </row>
    <row r="8" spans="1:9" x14ac:dyDescent="0.25">
      <c r="A8" s="26" t="str">
        <f>Table156789[[#This Row],[Full Name]]</f>
        <v>PARKER, Emily</v>
      </c>
      <c r="B8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8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30</v>
      </c>
      <c r="D8" s="7">
        <f>IF(Table156789[[#This Row],[Category]]="","",IF(Table156789[[#This Row],[Category]]="M",COUNTIF($I$2:$I8,"M"),IF(Table156789[[#This Row],[Category]]="F",COUNTIF($I$2:$I8,"F"),0)))</f>
        <v>1</v>
      </c>
      <c r="E8" s="34">
        <v>121</v>
      </c>
      <c r="F8" s="56">
        <v>6.6759259259259254E-2</v>
      </c>
      <c r="G8" s="36" t="s">
        <v>172</v>
      </c>
      <c r="H8" s="36" t="s">
        <v>256</v>
      </c>
      <c r="I8" s="37" t="s">
        <v>156</v>
      </c>
    </row>
    <row r="9" spans="1:9" x14ac:dyDescent="0.25">
      <c r="A9" s="26" t="str">
        <f>Table156789[[#This Row],[Full Name]]</f>
        <v>HARRIOTT, Mark</v>
      </c>
      <c r="B9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9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24</v>
      </c>
      <c r="D9" s="7">
        <f>IF(Table156789[[#This Row],[Category]]="","",IF(Table156789[[#This Row],[Category]]="M",COUNTIF($I$2:$I9,"M"),IF(Table156789[[#This Row],[Category]]="F",COUNTIF($I$2:$I9,"F"),0)))</f>
        <v>7</v>
      </c>
      <c r="E9" s="34">
        <v>122</v>
      </c>
      <c r="F9" s="56">
        <v>6.7071759259259262E-2</v>
      </c>
      <c r="G9" s="36" t="s">
        <v>284</v>
      </c>
      <c r="H9" s="36" t="s">
        <v>92</v>
      </c>
      <c r="I9" s="37" t="s">
        <v>146</v>
      </c>
    </row>
    <row r="10" spans="1:9" x14ac:dyDescent="0.25">
      <c r="A10" s="26" t="str">
        <f>Table156789[[#This Row],[Full Name]]</f>
        <v>MONAGHAN, Amelia</v>
      </c>
      <c r="B10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0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29</v>
      </c>
      <c r="D10" s="7">
        <f>IF(Table156789[[#This Row],[Category]]="","",IF(Table156789[[#This Row],[Category]]="M",COUNTIF($I$2:$I10,"M"),IF(Table156789[[#This Row],[Category]]="F",COUNTIF($I$2:$I10,"F"),0)))</f>
        <v>2</v>
      </c>
      <c r="E10" s="34">
        <v>151</v>
      </c>
      <c r="F10" s="56">
        <v>6.8807870370370366E-2</v>
      </c>
      <c r="G10" s="36" t="s">
        <v>285</v>
      </c>
      <c r="H10" s="36" t="s">
        <v>93</v>
      </c>
      <c r="I10" s="37" t="s">
        <v>156</v>
      </c>
    </row>
    <row r="11" spans="1:9" x14ac:dyDescent="0.25">
      <c r="A11" s="26" t="str">
        <f>Table156789[[#This Row],[Full Name]]</f>
        <v>CODD, Paul</v>
      </c>
      <c r="B11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1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23</v>
      </c>
      <c r="D11" s="7">
        <f>IF(Table156789[[#This Row],[Category]]="","",IF(Table156789[[#This Row],[Category]]="M",COUNTIF($I$2:$I11,"M"),IF(Table156789[[#This Row],[Category]]="F",COUNTIF($I$2:$I11,"F"),0)))</f>
        <v>8</v>
      </c>
      <c r="E11" s="34">
        <v>153</v>
      </c>
      <c r="F11" s="56">
        <v>6.8784722222222219E-2</v>
      </c>
      <c r="G11" s="36" t="s">
        <v>285</v>
      </c>
      <c r="H11" s="36" t="s">
        <v>48</v>
      </c>
      <c r="I11" s="37" t="s">
        <v>146</v>
      </c>
    </row>
    <row r="12" spans="1:9" x14ac:dyDescent="0.25">
      <c r="A12" s="26" t="str">
        <f>Table156789[[#This Row],[Full Name]]</f>
        <v>JOYCE, Matthew</v>
      </c>
      <c r="B12" s="28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2" s="28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22</v>
      </c>
      <c r="D12" s="7">
        <f>IF(Table156789[[#This Row],[Category]]="","",IF(Table156789[[#This Row],[Category]]="M",COUNTIF($I$2:$I12,"M"),IF(Table156789[[#This Row],[Category]]="F",COUNTIF($I$2:$I12,"F"),0)))</f>
        <v>9</v>
      </c>
      <c r="E12" s="34">
        <v>215</v>
      </c>
      <c r="F12" s="56">
        <v>7.2800925925925922E-2</v>
      </c>
      <c r="G12" s="36" t="s">
        <v>286</v>
      </c>
      <c r="H12" s="36" t="s">
        <v>57</v>
      </c>
      <c r="I12" s="37" t="s">
        <v>146</v>
      </c>
    </row>
    <row r="13" spans="1:9" x14ac:dyDescent="0.25">
      <c r="A13" s="27" t="str">
        <f>Table156789[[#This Row],[Full Name]]</f>
        <v>OGDEN, Dan</v>
      </c>
      <c r="B13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3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21</v>
      </c>
      <c r="D13" s="7">
        <f>IF(Table156789[[#This Row],[Category]]="","",IF(Table156789[[#This Row],[Category]]="M",COUNTIF($I$2:$I13,"M"),IF(Table156789[[#This Row],[Category]]="F",COUNTIF($I$2:$I13,"F"),0)))</f>
        <v>10</v>
      </c>
      <c r="E13" s="38">
        <v>220</v>
      </c>
      <c r="F13" s="56">
        <v>7.3449074074074069E-2</v>
      </c>
      <c r="G13" s="40" t="s">
        <v>234</v>
      </c>
      <c r="H13" s="40" t="s">
        <v>287</v>
      </c>
      <c r="I13" s="41" t="s">
        <v>146</v>
      </c>
    </row>
    <row r="14" spans="1:9" x14ac:dyDescent="0.25">
      <c r="A14" s="27" t="str">
        <f>Table156789[[#This Row],[Full Name]]</f>
        <v>OSBORNE, Chris</v>
      </c>
      <c r="B14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4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20</v>
      </c>
      <c r="D14" s="7">
        <f>IF(Table156789[[#This Row],[Category]]="","",IF(Table156789[[#This Row],[Category]]="M",COUNTIF($I$2:$I14,"M"),IF(Table156789[[#This Row],[Category]]="F",COUNTIF($I$2:$I14,"F"),0)))</f>
        <v>11</v>
      </c>
      <c r="E14" s="34">
        <v>225</v>
      </c>
      <c r="F14" s="56">
        <v>7.3472222222222217E-2</v>
      </c>
      <c r="G14" s="36" t="s">
        <v>234</v>
      </c>
      <c r="H14" s="36" t="s">
        <v>40</v>
      </c>
      <c r="I14" s="37" t="s">
        <v>146</v>
      </c>
    </row>
    <row r="15" spans="1:9" x14ac:dyDescent="0.25">
      <c r="A15" s="27" t="str">
        <f>Table156789[[#This Row],[Full Name]]</f>
        <v>ALLSOP, Andrew</v>
      </c>
      <c r="B15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5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19</v>
      </c>
      <c r="D15" s="7">
        <f>IF(Table156789[[#This Row],[Category]]="","",IF(Table156789[[#This Row],[Category]]="M",COUNTIF($I$2:$I15,"M"),IF(Table156789[[#This Row],[Category]]="F",COUNTIF($I$2:$I15,"F"),0)))</f>
        <v>12</v>
      </c>
      <c r="E15" s="34">
        <v>234</v>
      </c>
      <c r="F15" s="56">
        <v>7.424768518518518E-2</v>
      </c>
      <c r="G15" s="36" t="s">
        <v>288</v>
      </c>
      <c r="H15" s="36" t="s">
        <v>177</v>
      </c>
      <c r="I15" s="37" t="s">
        <v>146</v>
      </c>
    </row>
    <row r="16" spans="1:9" x14ac:dyDescent="0.25">
      <c r="A16" s="27" t="str">
        <f>Table156789[[#This Row],[Full Name]]</f>
        <v>LAWLESS, Sandra</v>
      </c>
      <c r="B16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6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28</v>
      </c>
      <c r="D16" s="7">
        <f>IF(Table156789[[#This Row],[Category]]="","",IF(Table156789[[#This Row],[Category]]="M",COUNTIF($I$2:$I16,"M"),IF(Table156789[[#This Row],[Category]]="F",COUNTIF($I$2:$I16,"F"),0)))</f>
        <v>3</v>
      </c>
      <c r="E16" s="34">
        <v>246</v>
      </c>
      <c r="F16" s="56">
        <v>7.4722222222222218E-2</v>
      </c>
      <c r="G16" s="36" t="s">
        <v>289</v>
      </c>
      <c r="H16" s="36" t="s">
        <v>66</v>
      </c>
      <c r="I16" s="37" t="s">
        <v>156</v>
      </c>
    </row>
    <row r="17" spans="1:9" x14ac:dyDescent="0.25">
      <c r="A17" s="27" t="str">
        <f>Table156789[[#This Row],[Full Name]]</f>
        <v>SMITH, Victoria</v>
      </c>
      <c r="B17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7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27</v>
      </c>
      <c r="D17" s="7">
        <f>IF(Table156789[[#This Row],[Category]]="","",IF(Table156789[[#This Row],[Category]]="M",COUNTIF($I$2:$I17,"M"),IF(Table156789[[#This Row],[Category]]="F",COUNTIF($I$2:$I17,"F"),0)))</f>
        <v>4</v>
      </c>
      <c r="E17" s="34">
        <v>249</v>
      </c>
      <c r="F17" s="56">
        <v>7.5092592592592586E-2</v>
      </c>
      <c r="G17" s="36" t="s">
        <v>262</v>
      </c>
      <c r="H17" s="36" t="s">
        <v>41</v>
      </c>
      <c r="I17" s="37" t="s">
        <v>156</v>
      </c>
    </row>
    <row r="18" spans="1:9" x14ac:dyDescent="0.25">
      <c r="A18" s="27" t="str">
        <f>Table156789[[#This Row],[Full Name]]</f>
        <v>FOWLER, Adrian</v>
      </c>
      <c r="B18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8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18</v>
      </c>
      <c r="D18" s="7">
        <f>IF(Table156789[[#This Row],[Category]]="","",IF(Table156789[[#This Row],[Category]]="M",COUNTIF($I$2:$I18,"M"),IF(Table156789[[#This Row],[Category]]="F",COUNTIF($I$2:$I18,"F"),0)))</f>
        <v>13</v>
      </c>
      <c r="E18" s="34">
        <v>303</v>
      </c>
      <c r="F18" s="56">
        <v>7.7546296296296294E-2</v>
      </c>
      <c r="G18" s="36" t="s">
        <v>290</v>
      </c>
      <c r="H18" s="36" t="s">
        <v>106</v>
      </c>
      <c r="I18" s="37" t="s">
        <v>146</v>
      </c>
    </row>
    <row r="19" spans="1:9" x14ac:dyDescent="0.25">
      <c r="A19" s="27" t="str">
        <f>Table156789[[#This Row],[Full Name]]</f>
        <v>GRAVES, Laura</v>
      </c>
      <c r="B19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19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26</v>
      </c>
      <c r="D19" s="7">
        <f>IF(Table156789[[#This Row],[Category]]="","",IF(Table156789[[#This Row],[Category]]="M",COUNTIF($I$2:$I19,"M"),IF(Table156789[[#This Row],[Category]]="F",COUNTIF($I$2:$I19,"F"),0)))</f>
        <v>5</v>
      </c>
      <c r="E19" s="34">
        <v>319</v>
      </c>
      <c r="F19" s="56">
        <v>7.7766203703703699E-2</v>
      </c>
      <c r="G19" s="36" t="s">
        <v>200</v>
      </c>
      <c r="H19" s="36" t="s">
        <v>13</v>
      </c>
      <c r="I19" s="37" t="s">
        <v>156</v>
      </c>
    </row>
    <row r="20" spans="1:9" x14ac:dyDescent="0.25">
      <c r="A20" s="27" t="str">
        <f>Table156789[[#This Row],[Full Name]]</f>
        <v>TILBURY, Lindsay</v>
      </c>
      <c r="B20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20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25</v>
      </c>
      <c r="D20" s="7">
        <f>IF(Table156789[[#This Row],[Category]]="","",IF(Table156789[[#This Row],[Category]]="M",COUNTIF($I$2:$I20,"M"),IF(Table156789[[#This Row],[Category]]="F",COUNTIF($I$2:$I20,"F"),0)))</f>
        <v>6</v>
      </c>
      <c r="E20" s="34">
        <v>365</v>
      </c>
      <c r="F20" s="56">
        <v>8.0925925925925929E-2</v>
      </c>
      <c r="G20" s="36" t="s">
        <v>175</v>
      </c>
      <c r="H20" s="36" t="s">
        <v>75</v>
      </c>
      <c r="I20" s="37" t="s">
        <v>156</v>
      </c>
    </row>
    <row r="21" spans="1:9" x14ac:dyDescent="0.25">
      <c r="A21" s="27" t="str">
        <f>Table156789[[#This Row],[Full Name]]</f>
        <v>BENNION, Nancy</v>
      </c>
      <c r="B21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21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24</v>
      </c>
      <c r="D21" s="7">
        <f>IF(Table156789[[#This Row],[Category]]="","",IF(Table156789[[#This Row],[Category]]="M",COUNTIF($I$2:$I21,"M"),IF(Table156789[[#This Row],[Category]]="F",COUNTIF($I$2:$I21,"F"),0)))</f>
        <v>7</v>
      </c>
      <c r="E21" s="34">
        <v>380</v>
      </c>
      <c r="F21" s="56">
        <v>8.1736111111111107E-2</v>
      </c>
      <c r="G21" s="36" t="s">
        <v>291</v>
      </c>
      <c r="H21" s="36" t="s">
        <v>50</v>
      </c>
      <c r="I21" s="37" t="s">
        <v>156</v>
      </c>
    </row>
    <row r="22" spans="1:9" x14ac:dyDescent="0.25">
      <c r="A22" s="27" t="str">
        <f>Table156789[[#This Row],[Full Name]]</f>
        <v>DYTHAM, Michelle</v>
      </c>
      <c r="B22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22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23</v>
      </c>
      <c r="D22" s="7">
        <f>IF(Table156789[[#This Row],[Category]]="","",IF(Table156789[[#This Row],[Category]]="M",COUNTIF($I$2:$I22,"M"),IF(Table156789[[#This Row],[Category]]="F",COUNTIF($I$2:$I22,"F"),0)))</f>
        <v>8</v>
      </c>
      <c r="E22" s="34">
        <v>413</v>
      </c>
      <c r="F22" s="56">
        <v>8.3368055555555556E-2</v>
      </c>
      <c r="G22" s="36" t="s">
        <v>204</v>
      </c>
      <c r="H22" s="36" t="s">
        <v>122</v>
      </c>
      <c r="I22" s="37" t="s">
        <v>156</v>
      </c>
    </row>
    <row r="23" spans="1:9" x14ac:dyDescent="0.25">
      <c r="A23" s="27" t="str">
        <f>Table156789[[#This Row],[Full Name]]</f>
        <v>STURLA, Tim</v>
      </c>
      <c r="B23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>OK</v>
      </c>
      <c r="C23" s="29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>17</v>
      </c>
      <c r="D23" s="7">
        <f>IF(Table156789[[#This Row],[Category]]="","",IF(Table156789[[#This Row],[Category]]="M",COUNTIF($I$2:$I23,"M"),IF(Table156789[[#This Row],[Category]]="F",COUNTIF($I$2:$I23,"F"),0)))</f>
        <v>14</v>
      </c>
      <c r="E23" s="34">
        <v>493</v>
      </c>
      <c r="F23" s="56">
        <v>8.8622685185185179E-2</v>
      </c>
      <c r="G23" s="36" t="s">
        <v>153</v>
      </c>
      <c r="H23" s="36" t="s">
        <v>78</v>
      </c>
      <c r="I23" s="37" t="s">
        <v>146</v>
      </c>
    </row>
    <row r="24" spans="1:9" x14ac:dyDescent="0.25">
      <c r="A24" s="27">
        <f>Table156789[[#This Row],[Full Name]]</f>
        <v>0</v>
      </c>
      <c r="B24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4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4" s="7" t="str">
        <f>IF(Table156789[[#This Row],[Category]]="","",IF(Table156789[[#This Row],[Category]]="M",COUNTIF($I$2:$I24,"M"),IF(Table156789[[#This Row],[Category]]="F",COUNTIF($I$2:$I24,"F"),0)))</f>
        <v/>
      </c>
      <c r="E24" s="34"/>
      <c r="F24" s="56"/>
      <c r="G24" s="36"/>
      <c r="H24" s="36"/>
      <c r="I24" s="37"/>
    </row>
    <row r="25" spans="1:9" x14ac:dyDescent="0.25">
      <c r="A25" s="27">
        <f>Table156789[[#This Row],[Full Name]]</f>
        <v>0</v>
      </c>
      <c r="B25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5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5" s="7" t="str">
        <f>IF(Table156789[[#This Row],[Category]]="","",IF(Table156789[[#This Row],[Category]]="M",COUNTIF($I$2:$I25,"M"),IF(Table156789[[#This Row],[Category]]="F",COUNTIF($I$2:$I25,"F"),0)))</f>
        <v/>
      </c>
      <c r="E25" s="34"/>
      <c r="F25" s="56"/>
      <c r="G25" s="36"/>
      <c r="H25" s="36"/>
      <c r="I25" s="37"/>
    </row>
    <row r="26" spans="1:9" x14ac:dyDescent="0.25">
      <c r="A26" s="27">
        <f>Table156789[[#This Row],[Full Name]]</f>
        <v>0</v>
      </c>
      <c r="B26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6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6" s="7" t="str">
        <f>IF(Table156789[[#This Row],[Category]]="","",IF(Table156789[[#This Row],[Category]]="M",COUNTIF($I$2:$I26,"M"),IF(Table156789[[#This Row],[Category]]="F",COUNTIF($I$2:$I26,"F"),0)))</f>
        <v/>
      </c>
      <c r="E26" s="34"/>
      <c r="F26" s="56"/>
      <c r="G26" s="36"/>
      <c r="H26" s="36"/>
      <c r="I26" s="37"/>
    </row>
    <row r="27" spans="1:9" x14ac:dyDescent="0.25">
      <c r="A27" s="27">
        <f>Table156789[[#This Row],[Full Name]]</f>
        <v>0</v>
      </c>
      <c r="B27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7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7" s="7" t="str">
        <f>IF(Table156789[[#This Row],[Category]]="","",IF(Table156789[[#This Row],[Category]]="M",COUNTIF($I$2:$I27,"M"),IF(Table156789[[#This Row],[Category]]="F",COUNTIF($I$2:$I27,"F"),0)))</f>
        <v/>
      </c>
      <c r="E27" s="34"/>
      <c r="F27" s="56"/>
      <c r="G27" s="36"/>
      <c r="H27" s="36"/>
      <c r="I27" s="37"/>
    </row>
    <row r="28" spans="1:9" x14ac:dyDescent="0.25">
      <c r="A28" s="27">
        <f>Table156789[[#This Row],[Full Name]]</f>
        <v>0</v>
      </c>
      <c r="B28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8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8" s="7" t="str">
        <f>IF(Table156789[[#This Row],[Category]]="","",IF(Table156789[[#This Row],[Category]]="M",COUNTIF($I$2:$I28,"M"),IF(Table156789[[#This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Table156789[[#This Row],[Full Name]]</f>
        <v>0</v>
      </c>
      <c r="B29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29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29" s="7" t="str">
        <f>IF(Table156789[[#This Row],[Category]]="","",IF(Table156789[[#This Row],[Category]]="M",COUNTIF($I$2:$I29,"M"),IF(Table156789[[#This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Table156789[[#This Row],[Full Name]]</f>
        <v>0</v>
      </c>
      <c r="B30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0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0" s="7" t="str">
        <f>IF(Table156789[[#This Row],[Category]]="","",IF(Table156789[[#This Row],[Category]]="M",COUNTIF($I$2:$I30,"M"),IF(Table156789[[#This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Table156789[[#This Row],[Full Name]]</f>
        <v>0</v>
      </c>
      <c r="B31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1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1" s="7" t="str">
        <f>IF(Table156789[[#This Row],[Category]]="","",IF(Table156789[[#This Row],[Category]]="M",COUNTIF($I$2:$I31,"M"),IF(Table156789[[#This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Table156789[[#This Row],[Full Name]]</f>
        <v>0</v>
      </c>
      <c r="B32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2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2" s="7" t="str">
        <f>IF(Table156789[[#This Row],[Category]]="","",IF(Table156789[[#This Row],[Category]]="M",COUNTIF($I$2:$I32,"M"),IF(Table156789[[#This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Table156789[[#This Row],[Full Name]]</f>
        <v>0</v>
      </c>
      <c r="B33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3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3" s="7" t="str">
        <f>IF(Table156789[[#This Row],[Category]]="","",IF(Table156789[[#This Row],[Category]]="M",COUNTIF($I$2:$I33,"M"),IF(Table156789[[#This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Table156789[[#This Row],[Full Name]]</f>
        <v>0</v>
      </c>
      <c r="B34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4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4" s="7" t="str">
        <f>IF(Table156789[[#This Row],[Category]]="","",IF(Table156789[[#This Row],[Category]]="M",COUNTIF($I$2:$I34,"M"),IF(Table156789[[#This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Table156789[[#This Row],[Full Name]]</f>
        <v>0</v>
      </c>
      <c r="B35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5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5" s="7" t="str">
        <f>IF(Table156789[[#This Row],[Category]]="","",IF(Table156789[[#This Row],[Category]]="M",COUNTIF($I$2:$I35,"M"),IF(Table156789[[#This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Table156789[[#This Row],[Full Name]]</f>
        <v>0</v>
      </c>
      <c r="B36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6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6" s="7" t="str">
        <f>IF(Table156789[[#This Row],[Category]]="","",IF(Table156789[[#This Row],[Category]]="M",COUNTIF($I$2:$I36,"M"),IF(Table156789[[#This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Table156789[[#This Row],[Full Name]]</f>
        <v>0</v>
      </c>
      <c r="B37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7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7" s="7" t="str">
        <f>IF(Table156789[[#This Row],[Category]]="","",IF(Table156789[[#This Row],[Category]]="M",COUNTIF($I$2:$I37,"M"),IF(Table156789[[#This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Table156789[[#This Row],[Full Name]]</f>
        <v>0</v>
      </c>
      <c r="B38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8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8" s="7" t="str">
        <f>IF(Table156789[[#This Row],[Category]]="","",IF(Table156789[[#This Row],[Category]]="M",COUNTIF($I$2:$I38,"M"),IF(Table156789[[#This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Table156789[[#This Row],[Full Name]]</f>
        <v>0</v>
      </c>
      <c r="B39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39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39" s="7" t="str">
        <f>IF(Table156789[[#This Row],[Category]]="","",IF(Table156789[[#This Row],[Category]]="M",COUNTIF($I$2:$I39,"M"),IF(Table156789[[#This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Table156789[[#This Row],[Full Name]]</f>
        <v>0</v>
      </c>
      <c r="B40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0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0" s="7" t="str">
        <f>IF(Table156789[[#This Row],[Category]]="","",IF(Table156789[[#This Row],[Category]]="M",COUNTIF($I$2:$I40,"M"),IF(Table156789[[#This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Table156789[[#This Row],[Full Name]]</f>
        <v>0</v>
      </c>
      <c r="B41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1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1" s="7" t="str">
        <f>IF(Table156789[[#This Row],[Category]]="","",IF(Table156789[[#This Row],[Category]]="M",COUNTIF($I$2:$I41,"M"),IF(Table156789[[#This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Table156789[[#This Row],[Full Name]]</f>
        <v>0</v>
      </c>
      <c r="B42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2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2" s="7" t="str">
        <f>IF(Table156789[[#This Row],[Category]]="","",IF(Table156789[[#This Row],[Category]]="M",COUNTIF($I$2:$I42,"M"),IF(Table156789[[#This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Table156789[[#This Row],[Full Name]]</f>
        <v>0</v>
      </c>
      <c r="B43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3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3" s="7" t="str">
        <f>IF(Table156789[[#This Row],[Category]]="","",IF(Table156789[[#This Row],[Category]]="M",COUNTIF($I$2:$I43,"M"),IF(Table156789[[#This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Table156789[[#This Row],[Full Name]]</f>
        <v>0</v>
      </c>
      <c r="B44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4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4" s="7" t="str">
        <f>IF(Table156789[[#This Row],[Category]]="","",IF(Table156789[[#This Row],[Category]]="M",COUNTIF($I$2:$I44,"M"),IF(Table156789[[#This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Table156789[[#This Row],[Full Name]]</f>
        <v>0</v>
      </c>
      <c r="B45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5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5" s="7" t="str">
        <f>IF(Table156789[[#This Row],[Category]]="","",IF(Table156789[[#This Row],[Category]]="M",COUNTIF($I$2:$I45,"M"),IF(Table156789[[#This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Table156789[[#This Row],[Full Name]]</f>
        <v>0</v>
      </c>
      <c r="B46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6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6" s="7" t="str">
        <f>IF(Table156789[[#This Row],[Category]]="","",IF(Table156789[[#This Row],[Category]]="M",COUNTIF($I$2:$I46,"M"),IF(Table156789[[#This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Table156789[[#This Row],[Full Name]]</f>
        <v>0</v>
      </c>
      <c r="B47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7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7" s="7" t="str">
        <f>IF(Table156789[[#This Row],[Category]]="","",IF(Table156789[[#This Row],[Category]]="M",COUNTIF($I$2:$I47,"M"),IF(Table156789[[#This Row],[Category]]="F",COUNTIF($I$2:$I47,"F"),0)))</f>
        <v/>
      </c>
      <c r="E47" s="34"/>
      <c r="F47" s="56"/>
      <c r="G47" s="36"/>
      <c r="H47" s="36"/>
      <c r="I47" s="37"/>
    </row>
    <row r="48" spans="1:9" x14ac:dyDescent="0.25">
      <c r="A48" s="27">
        <f>Table156789[[#This Row],[Full Name]]</f>
        <v>0</v>
      </c>
      <c r="B48" s="29" t="str">
        <f>IF(Table156789[[#This Row],[Full Name]]="","",IF(IFERROR(IFERROR(VLOOKUP(Table156789[[#This Row],[Full Name]],'Mens League'!B:B,1,FALSE),VLOOKUP(Table156789[[#This Row],[Full Name]],'Women''s League'!B:B,1,FALSE)),"NEEDS ADDING")="NEEDS ADDING","NEEDS ADDING","OK"))</f>
        <v/>
      </c>
      <c r="C48" s="29" t="str">
        <f>IF(Table156789[[#This Row],[Position]]="","",IF(Table156789[[#This Row],[Rank]]=1,30,IF(Table156789[[#This Row],[Rank]]=2,29,IF(Table156789[[#This Row],[Rank]]=3,28,IF(Table156789[[#This Row],[Rank]]=4,27,IF(Table156789[[#This Row],[Rank]]=5,26,IF(Table156789[[#This Row],[Rank]]=6,25,IF(Table156789[[#This Row],[Rank]]=7,24,IF(Table156789[[#This Row],[Rank]]=8,23,IF(Table156789[[#This Row],[Rank]]=9,22,IF(Table156789[[#This Row],[Rank]]=10,21,IF(Table156789[[#This Row],[Rank]]=11,20,IF(Table156789[[#This Row],[Rank]]=12,19,IF(Table156789[[#This Row],[Rank]]=13,18,IF(Table156789[[#This Row],[Rank]]=14,17,IF(Table156789[[#This Row],[Rank]]=15,16,IF(Table156789[[#This Row],[Rank]]=16,15,IF(Table156789[[#This Row],[Rank]]=17,14,IF(Table156789[[#This Row],[Rank]]=18,13,IF(Table156789[[#This Row],[Rank]]=19,12,IF(Table156789[[#This Row],[Rank]]=20,11,IF(Table156789[[#This Row],[Rank]]=21,10,IF(Table156789[[#This Row],[Rank]]=22,9,IF(Table156789[[#This Row],[Rank]]=23,8,IF(Table156789[[#This Row],[Rank]]=24,7,IF(Table156789[[#This Row],[Rank]]=25,6,IF(Table156789[[#This Row],[Rank]]=26,5,IF(Table156789[[#This Row],[Rank]]=27,4,IF(Table156789[[#This Row],[Rank]]=28,3,IF(Table156789[[#This Row],[Rank]]=29,2,IF(Table156789[[#This Row],[Rank]]=30,1,0)))))))))))))))))))))))))))))))</f>
        <v/>
      </c>
      <c r="D48" s="7" t="str">
        <f>IF(Table156789[[#This Row],[Category]]="","",IF(Table156789[[#This Row],[Category]]="M",COUNTIF($I$2:$I48,"M"),IF(Table156789[[#This Row],[Category]]="F",COUNTIF($I$2:$I48,"F"),0)))</f>
        <v/>
      </c>
      <c r="E48" s="34"/>
      <c r="F48" s="56"/>
      <c r="G48" s="36"/>
      <c r="H48" s="36"/>
      <c r="I48" s="37"/>
    </row>
  </sheetData>
  <phoneticPr fontId="11" type="noConversion"/>
  <conditionalFormatting sqref="B2:B48">
    <cfRule type="containsText" dxfId="27" priority="1" operator="containsText" text="OK">
      <formula>NOT(ISERROR(SEARCH("OK",B2)))</formula>
    </cfRule>
    <cfRule type="containsText" dxfId="26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8FB1-2DFA-4460-8AB1-C9DF21F07E7E}">
  <sheetPr>
    <tabColor rgb="FF00B0F0"/>
  </sheetPr>
  <dimension ref="A1:I47"/>
  <sheetViews>
    <sheetView topLeftCell="B1" workbookViewId="0">
      <selection activeCell="E21" sqref="E21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Table1567891011[[#This Row],[Full Name]]</f>
        <v>PARKER, Mark</v>
      </c>
      <c r="B2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2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30</v>
      </c>
      <c r="D2" s="7">
        <f>IF(Table1567891011[[#This Row],[Category]]="","",IF(Table1567891011[[#This Row],[Category]]="M",COUNTIF($I$2:$I2,"M"),IF(Table1567891011[[#This Row],[Category]]="F",COUNTIF($I$2:$I2,"F"),0)))</f>
        <v>1</v>
      </c>
      <c r="E2" s="34">
        <v>17</v>
      </c>
      <c r="F2" s="35">
        <v>2.3935185185185184E-2</v>
      </c>
      <c r="G2" s="36" t="s">
        <v>292</v>
      </c>
      <c r="H2" s="36" t="s">
        <v>2</v>
      </c>
      <c r="I2" s="37" t="s">
        <v>146</v>
      </c>
    </row>
    <row r="3" spans="1:9" x14ac:dyDescent="0.25">
      <c r="A3" s="26" t="str">
        <f>Table1567891011[[#This Row],[Full Name]]</f>
        <v>WIDEMAN, Emily</v>
      </c>
      <c r="B3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3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30</v>
      </c>
      <c r="D3" s="7">
        <f>IF(Table1567891011[[#This Row],[Category]]="","",IF(Table1567891011[[#This Row],[Category]]="M",COUNTIF($I$2:$I3,"M"),IF(Table1567891011[[#This Row],[Category]]="F",COUNTIF($I$2:$I3,"F"),0)))</f>
        <v>1</v>
      </c>
      <c r="E3" s="34">
        <v>116</v>
      </c>
      <c r="F3" s="35">
        <v>2.8182870370370372E-2</v>
      </c>
      <c r="G3" s="36" t="s">
        <v>279</v>
      </c>
      <c r="H3" s="36" t="s">
        <v>38</v>
      </c>
      <c r="I3" s="37" t="s">
        <v>156</v>
      </c>
    </row>
    <row r="4" spans="1:9" x14ac:dyDescent="0.25">
      <c r="A4" s="26" t="str">
        <f>Table1567891011[[#This Row],[Full Name]]</f>
        <v>HORN, Patrick</v>
      </c>
      <c r="B4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4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29</v>
      </c>
      <c r="D4" s="7">
        <f>IF(Table1567891011[[#This Row],[Category]]="","",IF(Table1567891011[[#This Row],[Category]]="M",COUNTIF($I$2:$I4,"M"),IF(Table1567891011[[#This Row],[Category]]="F",COUNTIF($I$2:$I4,"F"),0)))</f>
        <v>2</v>
      </c>
      <c r="E4" s="34">
        <v>136</v>
      </c>
      <c r="F4" s="35">
        <v>2.8587962962962964E-2</v>
      </c>
      <c r="G4" s="36" t="s">
        <v>293</v>
      </c>
      <c r="H4" s="36" t="s">
        <v>46</v>
      </c>
      <c r="I4" s="37" t="s">
        <v>146</v>
      </c>
    </row>
    <row r="5" spans="1:9" x14ac:dyDescent="0.25">
      <c r="A5" s="26" t="str">
        <f>Table1567891011[[#This Row],[Full Name]]</f>
        <v>PARKER, Emily</v>
      </c>
      <c r="B5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5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29</v>
      </c>
      <c r="D5" s="7">
        <f>IF(Table1567891011[[#This Row],[Category]]="","",IF(Table1567891011[[#This Row],[Category]]="M",COUNTIF($I$2:$I5,"M"),IF(Table1567891011[[#This Row],[Category]]="F",COUNTIF($I$2:$I5,"F"),0)))</f>
        <v>2</v>
      </c>
      <c r="E5" s="34">
        <v>141</v>
      </c>
      <c r="F5" s="35">
        <v>2.8773148148148148E-2</v>
      </c>
      <c r="G5" s="36" t="s">
        <v>294</v>
      </c>
      <c r="H5" s="36" t="s">
        <v>256</v>
      </c>
      <c r="I5" s="37" t="s">
        <v>156</v>
      </c>
    </row>
    <row r="6" spans="1:9" x14ac:dyDescent="0.25">
      <c r="A6" s="26" t="str">
        <f>Table1567891011[[#This Row],[Full Name]]</f>
        <v>MONAGHAN, Amelia</v>
      </c>
      <c r="B6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6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28</v>
      </c>
      <c r="D6" s="7">
        <f>IF(Table1567891011[[#This Row],[Category]]="","",IF(Table1567891011[[#This Row],[Category]]="M",COUNTIF($I$2:$I6,"M"),IF(Table1567891011[[#This Row],[Category]]="F",COUNTIF($I$2:$I6,"F"),0)))</f>
        <v>3</v>
      </c>
      <c r="E6" s="34">
        <v>143</v>
      </c>
      <c r="F6" s="35">
        <v>2.8900462962962965E-2</v>
      </c>
      <c r="G6" s="36" t="s">
        <v>188</v>
      </c>
      <c r="H6" s="36" t="s">
        <v>93</v>
      </c>
      <c r="I6" s="37" t="s">
        <v>156</v>
      </c>
    </row>
    <row r="7" spans="1:9" x14ac:dyDescent="0.25">
      <c r="A7" s="26" t="str">
        <f>Table1567891011[[#This Row],[Full Name]]</f>
        <v>BOTTRILL, Andrew</v>
      </c>
      <c r="B7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7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28</v>
      </c>
      <c r="D7" s="7">
        <f>IF(Table1567891011[[#This Row],[Category]]="","",IF(Table1567891011[[#This Row],[Category]]="M",COUNTIF($I$2:$I7,"M"),IF(Table1567891011[[#This Row],[Category]]="F",COUNTIF($I$2:$I7,"F"),0)))</f>
        <v>3</v>
      </c>
      <c r="E7" s="34">
        <v>215</v>
      </c>
      <c r="F7" s="35">
        <v>3.0752314814814816E-2</v>
      </c>
      <c r="G7" s="36" t="s">
        <v>284</v>
      </c>
      <c r="H7" s="36" t="s">
        <v>30</v>
      </c>
      <c r="I7" s="37" t="s">
        <v>146</v>
      </c>
    </row>
    <row r="8" spans="1:9" x14ac:dyDescent="0.25">
      <c r="A8" s="26" t="str">
        <f>Table1567891011[[#This Row],[Full Name]]</f>
        <v>BLAND, Damon</v>
      </c>
      <c r="B8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8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27</v>
      </c>
      <c r="D8" s="7">
        <f>IF(Table1567891011[[#This Row],[Category]]="","",IF(Table1567891011[[#This Row],[Category]]="M",COUNTIF($I$2:$I8,"M"),IF(Table1567891011[[#This Row],[Category]]="F",COUNTIF($I$2:$I8,"F"),0)))</f>
        <v>4</v>
      </c>
      <c r="E8" s="34">
        <v>250</v>
      </c>
      <c r="F8" s="35">
        <v>3.1643518518518515E-2</v>
      </c>
      <c r="G8" s="36" t="s">
        <v>295</v>
      </c>
      <c r="H8" s="36" t="s">
        <v>9</v>
      </c>
      <c r="I8" s="37" t="s">
        <v>146</v>
      </c>
    </row>
    <row r="9" spans="1:9" x14ac:dyDescent="0.25">
      <c r="A9" s="26" t="str">
        <f>Table1567891011[[#This Row],[Full Name]]</f>
        <v>BRADFORD, Mark</v>
      </c>
      <c r="B9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9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26</v>
      </c>
      <c r="D9" s="7">
        <f>IF(Table1567891011[[#This Row],[Category]]="","",IF(Table1567891011[[#This Row],[Category]]="M",COUNTIF($I$2:$I9,"M"),IF(Table1567891011[[#This Row],[Category]]="F",COUNTIF($I$2:$I9,"F"),0)))</f>
        <v>5</v>
      </c>
      <c r="E9" s="34">
        <v>258</v>
      </c>
      <c r="F9" s="35">
        <v>3.1793981481481479E-2</v>
      </c>
      <c r="G9" s="36" t="s">
        <v>296</v>
      </c>
      <c r="H9" s="36" t="s">
        <v>7</v>
      </c>
      <c r="I9" s="37" t="s">
        <v>146</v>
      </c>
    </row>
    <row r="10" spans="1:9" x14ac:dyDescent="0.25">
      <c r="A10" s="26" t="str">
        <f>Table1567891011[[#This Row],[Full Name]]</f>
        <v>SMITH, Victoria</v>
      </c>
      <c r="B10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0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27</v>
      </c>
      <c r="D10" s="7">
        <f>IF(Table1567891011[[#This Row],[Category]]="","",IF(Table1567891011[[#This Row],[Category]]="M",COUNTIF($I$2:$I10,"M"),IF(Table1567891011[[#This Row],[Category]]="F",COUNTIF($I$2:$I10,"F"),0)))</f>
        <v>4</v>
      </c>
      <c r="E10" s="34">
        <v>268</v>
      </c>
      <c r="F10" s="35">
        <v>3.215277777777778E-2</v>
      </c>
      <c r="G10" s="36" t="s">
        <v>197</v>
      </c>
      <c r="H10" s="36" t="s">
        <v>41</v>
      </c>
      <c r="I10" s="37" t="s">
        <v>156</v>
      </c>
    </row>
    <row r="11" spans="1:9" x14ac:dyDescent="0.25">
      <c r="A11" s="26" t="str">
        <f>Table1567891011[[#This Row],[Full Name]]</f>
        <v>SMITH, Georgina</v>
      </c>
      <c r="B11" s="28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1" s="28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26</v>
      </c>
      <c r="D11" s="7">
        <f>IF(Table1567891011[[#This Row],[Category]]="","",IF(Table1567891011[[#This Row],[Category]]="M",COUNTIF($I$2:$I11,"M"),IF(Table1567891011[[#This Row],[Category]]="F",COUNTIF($I$2:$I11,"F"),0)))</f>
        <v>5</v>
      </c>
      <c r="E11" s="38">
        <v>292</v>
      </c>
      <c r="F11" s="39">
        <v>3.290509259259259E-2</v>
      </c>
      <c r="G11" s="40" t="s">
        <v>297</v>
      </c>
      <c r="H11" s="40" t="s">
        <v>95</v>
      </c>
      <c r="I11" s="41" t="s">
        <v>156</v>
      </c>
    </row>
    <row r="12" spans="1:9" x14ac:dyDescent="0.25">
      <c r="A12" s="27" t="str">
        <f>Table1567891011[[#This Row],[Full Name]]</f>
        <v>BARNES, Louis</v>
      </c>
      <c r="B12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2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25</v>
      </c>
      <c r="D12" s="7">
        <f>IF(Table1567891011[[#This Row],[Category]]="","",IF(Table1567891011[[#This Row],[Category]]="M",COUNTIF($I$2:$I12,"M"),IF(Table1567891011[[#This Row],[Category]]="F",COUNTIF($I$2:$I12,"F"),0)))</f>
        <v>6</v>
      </c>
      <c r="E12" s="34">
        <v>293</v>
      </c>
      <c r="F12" s="35">
        <v>3.290509259259259E-2</v>
      </c>
      <c r="G12" s="36" t="s">
        <v>297</v>
      </c>
      <c r="H12" s="36" t="s">
        <v>4</v>
      </c>
      <c r="I12" s="37" t="s">
        <v>146</v>
      </c>
    </row>
    <row r="13" spans="1:9" x14ac:dyDescent="0.25">
      <c r="A13" s="27" t="str">
        <f>Table1567891011[[#This Row],[Full Name]]</f>
        <v>ASHTON, Mindy</v>
      </c>
      <c r="B13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3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25</v>
      </c>
      <c r="D13" s="7">
        <f>IF(Table1567891011[[#This Row],[Category]]="","",IF(Table1567891011[[#This Row],[Category]]="M",COUNTIF($I$2:$I13,"M"),IF(Table1567891011[[#This Row],[Category]]="F",COUNTIF($I$2:$I13,"F"),0)))</f>
        <v>6</v>
      </c>
      <c r="E13" s="34">
        <v>338</v>
      </c>
      <c r="F13" s="35">
        <v>3.3981481481481481E-2</v>
      </c>
      <c r="G13" s="36" t="s">
        <v>288</v>
      </c>
      <c r="H13" s="36" t="s">
        <v>52</v>
      </c>
      <c r="I13" s="37" t="s">
        <v>156</v>
      </c>
    </row>
    <row r="14" spans="1:9" x14ac:dyDescent="0.25">
      <c r="A14" s="27" t="str">
        <f>Table1567891011[[#This Row],[Full Name]]</f>
        <v>OSBORNE, Carolyn</v>
      </c>
      <c r="B14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4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24</v>
      </c>
      <c r="D14" s="7">
        <f>IF(Table1567891011[[#This Row],[Category]]="","",IF(Table1567891011[[#This Row],[Category]]="M",COUNTIF($I$2:$I14,"M"),IF(Table1567891011[[#This Row],[Category]]="F",COUNTIF($I$2:$I14,"F"),0)))</f>
        <v>7</v>
      </c>
      <c r="E14" s="34">
        <v>343</v>
      </c>
      <c r="F14" s="35">
        <v>3.4074074074074076E-2</v>
      </c>
      <c r="G14" s="36" t="s">
        <v>235</v>
      </c>
      <c r="H14" s="36" t="s">
        <v>12</v>
      </c>
      <c r="I14" s="37" t="s">
        <v>156</v>
      </c>
    </row>
    <row r="15" spans="1:9" x14ac:dyDescent="0.25">
      <c r="A15" s="27" t="str">
        <f>Table1567891011[[#This Row],[Full Name]]</f>
        <v>TURNER, Sophie</v>
      </c>
      <c r="B15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5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23</v>
      </c>
      <c r="D15" s="7">
        <f>IF(Table1567891011[[#This Row],[Category]]="","",IF(Table1567891011[[#This Row],[Category]]="M",COUNTIF($I$2:$I15,"M"),IF(Table1567891011[[#This Row],[Category]]="F",COUNTIF($I$2:$I15,"F"),0)))</f>
        <v>8</v>
      </c>
      <c r="E15" s="34">
        <v>388</v>
      </c>
      <c r="F15" s="35">
        <v>3.5428240740740739E-2</v>
      </c>
      <c r="G15" s="36" t="s">
        <v>174</v>
      </c>
      <c r="H15" s="36" t="s">
        <v>127</v>
      </c>
      <c r="I15" s="37" t="s">
        <v>156</v>
      </c>
    </row>
    <row r="16" spans="1:9" x14ac:dyDescent="0.25">
      <c r="A16" s="27" t="str">
        <f>Table1567891011[[#This Row],[Full Name]]</f>
        <v>POWDRILL, Neil</v>
      </c>
      <c r="B16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6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24</v>
      </c>
      <c r="D16" s="7">
        <f>IF(Table1567891011[[#This Row],[Category]]="","",IF(Table1567891011[[#This Row],[Category]]="M",COUNTIF($I$2:$I16,"M"),IF(Table1567891011[[#This Row],[Category]]="F",COUNTIF($I$2:$I16,"F"),0)))</f>
        <v>7</v>
      </c>
      <c r="E16" s="34">
        <v>403</v>
      </c>
      <c r="F16" s="35">
        <v>3.5798611111111114E-2</v>
      </c>
      <c r="G16" s="36" t="s">
        <v>237</v>
      </c>
      <c r="H16" s="36" t="s">
        <v>222</v>
      </c>
      <c r="I16" s="37" t="s">
        <v>146</v>
      </c>
    </row>
    <row r="17" spans="1:9" x14ac:dyDescent="0.25">
      <c r="A17" s="27" t="str">
        <f>Table1567891011[[#This Row],[Full Name]]</f>
        <v>AVERILLO, Paul</v>
      </c>
      <c r="B17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7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23</v>
      </c>
      <c r="D17" s="7">
        <f>IF(Table1567891011[[#This Row],[Category]]="","",IF(Table1567891011[[#This Row],[Category]]="M",COUNTIF($I$2:$I17,"M"),IF(Table1567891011[[#This Row],[Category]]="F",COUNTIF($I$2:$I17,"F"),0)))</f>
        <v>8</v>
      </c>
      <c r="E17" s="34">
        <v>445</v>
      </c>
      <c r="F17" s="35">
        <v>3.7256944444444447E-2</v>
      </c>
      <c r="G17" s="36" t="s">
        <v>220</v>
      </c>
      <c r="H17" s="36" t="s">
        <v>54</v>
      </c>
      <c r="I17" s="37" t="s">
        <v>146</v>
      </c>
    </row>
    <row r="18" spans="1:9" x14ac:dyDescent="0.25">
      <c r="A18" s="27" t="str">
        <f>Table1567891011[[#This Row],[Full Name]]</f>
        <v>ALLSOP, Lucy</v>
      </c>
      <c r="B18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8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22</v>
      </c>
      <c r="D18" s="7">
        <f>IF(Table1567891011[[#This Row],[Category]]="","",IF(Table1567891011[[#This Row],[Category]]="M",COUNTIF($I$2:$I18,"M"),IF(Table1567891011[[#This Row],[Category]]="F",COUNTIF($I$2:$I18,"F"),0)))</f>
        <v>9</v>
      </c>
      <c r="E18" s="34">
        <v>456</v>
      </c>
      <c r="F18" s="35">
        <v>3.7638888888888888E-2</v>
      </c>
      <c r="G18" s="36" t="s">
        <v>298</v>
      </c>
      <c r="H18" s="36" t="s">
        <v>43</v>
      </c>
      <c r="I18" s="37" t="s">
        <v>156</v>
      </c>
    </row>
    <row r="19" spans="1:9" x14ac:dyDescent="0.25">
      <c r="A19" s="27" t="str">
        <f>Table1567891011[[#This Row],[Full Name]]</f>
        <v>BLAND, Jane</v>
      </c>
      <c r="B19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19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21</v>
      </c>
      <c r="D19" s="7">
        <f>IF(Table1567891011[[#This Row],[Category]]="","",IF(Table1567891011[[#This Row],[Category]]="M",COUNTIF($I$2:$I19,"M"),IF(Table1567891011[[#This Row],[Category]]="F",COUNTIF($I$2:$I19,"F"),0)))</f>
        <v>10</v>
      </c>
      <c r="E19" s="34">
        <v>578</v>
      </c>
      <c r="F19" s="35">
        <v>4.1793981481481481E-2</v>
      </c>
      <c r="G19" s="36" t="s">
        <v>299</v>
      </c>
      <c r="H19" s="36" t="s">
        <v>63</v>
      </c>
      <c r="I19" s="37" t="s">
        <v>156</v>
      </c>
    </row>
    <row r="20" spans="1:9" x14ac:dyDescent="0.25">
      <c r="A20" s="27" t="str">
        <f>Table1567891011[[#This Row],[Full Name]]</f>
        <v>TOWLE, Grania</v>
      </c>
      <c r="B20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20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20</v>
      </c>
      <c r="D20" s="7">
        <f>IF(Table1567891011[[#This Row],[Category]]="","",IF(Table1567891011[[#This Row],[Category]]="M",COUNTIF($I$2:$I20,"M"),IF(Table1567891011[[#This Row],[Category]]="F",COUNTIF($I$2:$I20,"F"),0)))</f>
        <v>11</v>
      </c>
      <c r="E20" s="34">
        <v>674</v>
      </c>
      <c r="F20" s="35">
        <v>4.9386574074074076E-2</v>
      </c>
      <c r="G20" s="36" t="s">
        <v>300</v>
      </c>
      <c r="H20" s="36" t="s">
        <v>15</v>
      </c>
      <c r="I20" s="37" t="s">
        <v>156</v>
      </c>
    </row>
    <row r="21" spans="1:9" x14ac:dyDescent="0.25">
      <c r="A21" s="27" t="str">
        <f>Table1567891011[[#This Row],[Full Name]]</f>
        <v>HENFREY, Julie</v>
      </c>
      <c r="B21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>OK</v>
      </c>
      <c r="C21" s="29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>19</v>
      </c>
      <c r="D21" s="7">
        <f>IF(Table1567891011[[#This Row],[Category]]="","",IF(Table1567891011[[#This Row],[Category]]="M",COUNTIF($I$2:$I21,"M"),IF(Table1567891011[[#This Row],[Category]]="F",COUNTIF($I$2:$I21,"F"),0)))</f>
        <v>12</v>
      </c>
      <c r="E21" s="34">
        <v>703</v>
      </c>
      <c r="F21" s="35">
        <v>6.2037037037037036E-2</v>
      </c>
      <c r="G21" s="36" t="s">
        <v>249</v>
      </c>
      <c r="H21" s="36" t="s">
        <v>16</v>
      </c>
      <c r="I21" s="37" t="s">
        <v>156</v>
      </c>
    </row>
    <row r="22" spans="1:9" x14ac:dyDescent="0.25">
      <c r="A22" s="27">
        <f>Table1567891011[[#This Row],[Full Name]]</f>
        <v>0</v>
      </c>
      <c r="B22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2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2" s="7" t="str">
        <f>IF(Table1567891011[[#This Row],[Category]]="","",IF(Table1567891011[[#This Row],[Category]]="M",COUNTIF($I$2:$I22,"M"),IF(Table1567891011[[#This Row],[Category]]="F",COUNTIF($I$2:$I22,"F"),0)))</f>
        <v/>
      </c>
      <c r="E22" s="34"/>
      <c r="F22" s="35"/>
      <c r="G22" s="36"/>
      <c r="H22" s="36"/>
      <c r="I22" s="37"/>
    </row>
    <row r="23" spans="1:9" x14ac:dyDescent="0.25">
      <c r="A23" s="27">
        <f>Table1567891011[[#This Row],[Full Name]]</f>
        <v>0</v>
      </c>
      <c r="B23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3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3" s="7" t="str">
        <f>IF(Table1567891011[[#This Row],[Category]]="","",IF(Table1567891011[[#This Row],[Category]]="M",COUNTIF($I$2:$I23,"M"),IF(Table1567891011[[#This Row],[Category]]="F",COUNTIF($I$2:$I23,"F"),0)))</f>
        <v/>
      </c>
      <c r="E23" s="34"/>
      <c r="F23" s="35"/>
      <c r="G23" s="36"/>
      <c r="H23" s="36"/>
      <c r="I23" s="37"/>
    </row>
    <row r="24" spans="1:9" x14ac:dyDescent="0.25">
      <c r="A24" s="27">
        <f>Table1567891011[[#This Row],[Full Name]]</f>
        <v>0</v>
      </c>
      <c r="B24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4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4" s="7" t="str">
        <f>IF(Table1567891011[[#This Row],[Category]]="","",IF(Table1567891011[[#This Row],[Category]]="M",COUNTIF($I$2:$I24,"M"),IF(Table1567891011[[#This Row],[Category]]="F",COUNTIF($I$2:$I24,"F"),0)))</f>
        <v/>
      </c>
      <c r="E24" s="34"/>
      <c r="F24" s="35"/>
      <c r="G24" s="36"/>
      <c r="H24" s="36"/>
      <c r="I24" s="37"/>
    </row>
    <row r="25" spans="1:9" x14ac:dyDescent="0.25">
      <c r="A25" s="27">
        <f>Table1567891011[[#This Row],[Full Name]]</f>
        <v>0</v>
      </c>
      <c r="B25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5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5" s="7" t="str">
        <f>IF(Table1567891011[[#This Row],[Category]]="","",IF(Table1567891011[[#This Row],[Category]]="M",COUNTIF($I$2:$I25,"M"),IF(Table1567891011[[#This Row],[Category]]="F",COUNTIF($I$2:$I25,"F"),0)))</f>
        <v/>
      </c>
      <c r="E25" s="34"/>
      <c r="F25" s="35"/>
      <c r="G25" s="36"/>
      <c r="H25" s="36"/>
      <c r="I25" s="37"/>
    </row>
    <row r="26" spans="1:9" x14ac:dyDescent="0.25">
      <c r="A26" s="27">
        <f>Table1567891011[[#This Row],[Full Name]]</f>
        <v>0</v>
      </c>
      <c r="B26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6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6" s="7" t="str">
        <f>IF(Table1567891011[[#This Row],[Category]]="","",IF(Table1567891011[[#This Row],[Category]]="M",COUNTIF($I$2:$I26,"M"),IF(Table1567891011[[#This Row],[Category]]="F",COUNTIF($I$2:$I26,"F"),0)))</f>
        <v/>
      </c>
      <c r="E26" s="34"/>
      <c r="F26" s="35"/>
      <c r="G26" s="36"/>
      <c r="H26" s="36"/>
      <c r="I26" s="37"/>
    </row>
    <row r="27" spans="1:9" x14ac:dyDescent="0.25">
      <c r="A27" s="27">
        <f>Table1567891011[[#This Row],[Full Name]]</f>
        <v>0</v>
      </c>
      <c r="B27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7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7" s="7" t="str">
        <f>IF(Table1567891011[[#This Row],[Category]]="","",IF(Table1567891011[[#This Row],[Category]]="M",COUNTIF($I$2:$I27,"M"),IF(Table1567891011[[#This Row],[Category]]="F",COUNTIF($I$2:$I27,"F"),0)))</f>
        <v/>
      </c>
      <c r="E27" s="34"/>
      <c r="F27" s="35"/>
      <c r="G27" s="36"/>
      <c r="H27" s="36"/>
      <c r="I27" s="37"/>
    </row>
    <row r="28" spans="1:9" x14ac:dyDescent="0.25">
      <c r="A28" s="27">
        <f>Table1567891011[[#This Row],[Full Name]]</f>
        <v>0</v>
      </c>
      <c r="B28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8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8" s="7" t="str">
        <f>IF(Table1567891011[[#This Row],[Category]]="","",IF(Table1567891011[[#This Row],[Category]]="M",COUNTIF($I$2:$I28,"M"),IF(Table1567891011[[#This Row],[Category]]="F",COUNTIF($I$2:$I28,"F"),0)))</f>
        <v/>
      </c>
      <c r="E28" s="34"/>
      <c r="F28" s="35"/>
      <c r="G28" s="36"/>
      <c r="H28" s="36"/>
      <c r="I28" s="37"/>
    </row>
    <row r="29" spans="1:9" x14ac:dyDescent="0.25">
      <c r="A29" s="27">
        <f>Table1567891011[[#This Row],[Full Name]]</f>
        <v>0</v>
      </c>
      <c r="B29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29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29" s="7" t="str">
        <f>IF(Table1567891011[[#This Row],[Category]]="","",IF(Table1567891011[[#This Row],[Category]]="M",COUNTIF($I$2:$I29,"M"),IF(Table1567891011[[#This Row],[Category]]="F",COUNTIF($I$2:$I29,"F"),0)))</f>
        <v/>
      </c>
      <c r="E29" s="34"/>
      <c r="F29" s="35"/>
      <c r="G29" s="36"/>
      <c r="H29" s="36"/>
      <c r="I29" s="37"/>
    </row>
    <row r="30" spans="1:9" x14ac:dyDescent="0.25">
      <c r="A30" s="27">
        <f>Table1567891011[[#This Row],[Full Name]]</f>
        <v>0</v>
      </c>
      <c r="B30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0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0" s="7" t="str">
        <f>IF(Table1567891011[[#This Row],[Category]]="","",IF(Table1567891011[[#This Row],[Category]]="M",COUNTIF($I$2:$I30,"M"),IF(Table1567891011[[#This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Table1567891011[[#This Row],[Full Name]]</f>
        <v>0</v>
      </c>
      <c r="B31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1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1" s="7" t="str">
        <f>IF(Table1567891011[[#This Row],[Category]]="","",IF(Table1567891011[[#This Row],[Category]]="M",COUNTIF($I$2:$I31,"M"),IF(Table1567891011[[#This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Table1567891011[[#This Row],[Full Name]]</f>
        <v>0</v>
      </c>
      <c r="B32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2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2" s="7" t="str">
        <f>IF(Table1567891011[[#This Row],[Category]]="","",IF(Table1567891011[[#This Row],[Category]]="M",COUNTIF($I$2:$I32,"M"),IF(Table1567891011[[#This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Table1567891011[[#This Row],[Full Name]]</f>
        <v>0</v>
      </c>
      <c r="B33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3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3" s="7" t="str">
        <f>IF(Table1567891011[[#This Row],[Category]]="","",IF(Table1567891011[[#This Row],[Category]]="M",COUNTIF($I$2:$I33,"M"),IF(Table1567891011[[#This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Table1567891011[[#This Row],[Full Name]]</f>
        <v>0</v>
      </c>
      <c r="B34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4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4" s="7" t="str">
        <f>IF(Table1567891011[[#This Row],[Category]]="","",IF(Table1567891011[[#This Row],[Category]]="M",COUNTIF($I$2:$I34,"M"),IF(Table1567891011[[#This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Table1567891011[[#This Row],[Full Name]]</f>
        <v>0</v>
      </c>
      <c r="B35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5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5" s="7" t="str">
        <f>IF(Table1567891011[[#This Row],[Category]]="","",IF(Table1567891011[[#This Row],[Category]]="M",COUNTIF($I$2:$I35,"M"),IF(Table1567891011[[#This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Table1567891011[[#This Row],[Full Name]]</f>
        <v>0</v>
      </c>
      <c r="B36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6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6" s="7" t="str">
        <f>IF(Table1567891011[[#This Row],[Category]]="","",IF(Table1567891011[[#This Row],[Category]]="M",COUNTIF($I$2:$I36,"M"),IF(Table1567891011[[#This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Table1567891011[[#This Row],[Full Name]]</f>
        <v>0</v>
      </c>
      <c r="B37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7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7" s="7" t="str">
        <f>IF(Table1567891011[[#This Row],[Category]]="","",IF(Table1567891011[[#This Row],[Category]]="M",COUNTIF($I$2:$I37,"M"),IF(Table1567891011[[#This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Table1567891011[[#This Row],[Full Name]]</f>
        <v>0</v>
      </c>
      <c r="B38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8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8" s="7" t="str">
        <f>IF(Table1567891011[[#This Row],[Category]]="","",IF(Table1567891011[[#This Row],[Category]]="M",COUNTIF($I$2:$I38,"M"),IF(Table1567891011[[#This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Table1567891011[[#This Row],[Full Name]]</f>
        <v>0</v>
      </c>
      <c r="B39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39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39" s="7" t="str">
        <f>IF(Table1567891011[[#This Row],[Category]]="","",IF(Table1567891011[[#This Row],[Category]]="M",COUNTIF($I$2:$I39,"M"),IF(Table1567891011[[#This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Table1567891011[[#This Row],[Full Name]]</f>
        <v>0</v>
      </c>
      <c r="B40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0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0" s="7" t="str">
        <f>IF(Table1567891011[[#This Row],[Category]]="","",IF(Table1567891011[[#This Row],[Category]]="M",COUNTIF($I$2:$I40,"M"),IF(Table1567891011[[#This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Table1567891011[[#This Row],[Full Name]]</f>
        <v>0</v>
      </c>
      <c r="B41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1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1" s="7" t="str">
        <f>IF(Table1567891011[[#This Row],[Category]]="","",IF(Table1567891011[[#This Row],[Category]]="M",COUNTIF($I$2:$I41,"M"),IF(Table1567891011[[#This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Table1567891011[[#This Row],[Full Name]]</f>
        <v>0</v>
      </c>
      <c r="B42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2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2" s="7" t="str">
        <f>IF(Table1567891011[[#This Row],[Category]]="","",IF(Table1567891011[[#This Row],[Category]]="M",COUNTIF($I$2:$I42,"M"),IF(Table1567891011[[#This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Table1567891011[[#This Row],[Full Name]]</f>
        <v>0</v>
      </c>
      <c r="B43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3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3" s="7" t="str">
        <f>IF(Table1567891011[[#This Row],[Category]]="","",IF(Table1567891011[[#This Row],[Category]]="M",COUNTIF($I$2:$I43,"M"),IF(Table1567891011[[#This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Table1567891011[[#This Row],[Full Name]]</f>
        <v>0</v>
      </c>
      <c r="B44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4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4" s="7" t="str">
        <f>IF(Table1567891011[[#This Row],[Category]]="","",IF(Table1567891011[[#This Row],[Category]]="M",COUNTIF($I$2:$I44,"M"),IF(Table1567891011[[#This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Table1567891011[[#This Row],[Full Name]]</f>
        <v>0</v>
      </c>
      <c r="B45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5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5" s="7" t="str">
        <f>IF(Table1567891011[[#This Row],[Category]]="","",IF(Table1567891011[[#This Row],[Category]]="M",COUNTIF($I$2:$I45,"M"),IF(Table1567891011[[#This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Table1567891011[[#This Row],[Full Name]]</f>
        <v>0</v>
      </c>
      <c r="B46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6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6" s="7" t="str">
        <f>IF(Table1567891011[[#This Row],[Category]]="","",IF(Table1567891011[[#This Row],[Category]]="M",COUNTIF($I$2:$I46,"M"),IF(Table1567891011[[#This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Table1567891011[[#This Row],[Full Name]]</f>
        <v>0</v>
      </c>
      <c r="B47" s="29" t="str">
        <f>IF(Table1567891011[[#This Row],[Full Name]]="","",IF(IFERROR(IFERROR(VLOOKUP(Table1567891011[[#This Row],[Full Name]],'Mens League'!B:B,1,FALSE),VLOOKUP(Table1567891011[[#This Row],[Full Name]],'Women''s League'!B:B,1,FALSE)),"NEEDS ADDING")="NEEDS ADDING","NEEDS ADDING","OK"))</f>
        <v/>
      </c>
      <c r="C47" s="29" t="str">
        <f>IF(Table1567891011[[#This Row],[Position]]="","",IF(Table1567891011[[#This Row],[Rank]]=1,30,IF(Table1567891011[[#This Row],[Rank]]=2,29,IF(Table1567891011[[#This Row],[Rank]]=3,28,IF(Table1567891011[[#This Row],[Rank]]=4,27,IF(Table1567891011[[#This Row],[Rank]]=5,26,IF(Table1567891011[[#This Row],[Rank]]=6,25,IF(Table1567891011[[#This Row],[Rank]]=7,24,IF(Table1567891011[[#This Row],[Rank]]=8,23,IF(Table1567891011[[#This Row],[Rank]]=9,22,IF(Table1567891011[[#This Row],[Rank]]=10,21,IF(Table1567891011[[#This Row],[Rank]]=11,20,IF(Table1567891011[[#This Row],[Rank]]=12,19,IF(Table1567891011[[#This Row],[Rank]]=13,18,IF(Table1567891011[[#This Row],[Rank]]=14,17,IF(Table1567891011[[#This Row],[Rank]]=15,16,IF(Table1567891011[[#This Row],[Rank]]=16,15,IF(Table1567891011[[#This Row],[Rank]]=17,14,IF(Table1567891011[[#This Row],[Rank]]=18,13,IF(Table1567891011[[#This Row],[Rank]]=19,12,IF(Table1567891011[[#This Row],[Rank]]=20,11,IF(Table1567891011[[#This Row],[Rank]]=21,10,IF(Table1567891011[[#This Row],[Rank]]=22,9,IF(Table1567891011[[#This Row],[Rank]]=23,8,IF(Table1567891011[[#This Row],[Rank]]=24,7,IF(Table1567891011[[#This Row],[Rank]]=25,6,IF(Table1567891011[[#This Row],[Rank]]=26,5,IF(Table1567891011[[#This Row],[Rank]]=27,4,IF(Table1567891011[[#This Row],[Rank]]=28,3,IF(Table1567891011[[#This Row],[Rank]]=29,2,IF(Table1567891011[[#This Row],[Rank]]=30,1,0)))))))))))))))))))))))))))))))</f>
        <v/>
      </c>
      <c r="D47" s="7" t="str">
        <f>IF(Table1567891011[[#This Row],[Category]]="","",IF(Table1567891011[[#This Row],[Category]]="M",COUNTIF($I$2:$I47,"M"),IF(Table1567891011[[#This Row],[Category]]="F",COUNTIF($I$2:$I47,"F"),0)))</f>
        <v/>
      </c>
      <c r="E47" s="34"/>
      <c r="F47" s="35"/>
      <c r="G47" s="36"/>
      <c r="H47" s="36"/>
      <c r="I47" s="37"/>
    </row>
  </sheetData>
  <phoneticPr fontId="11" type="noConversion"/>
  <conditionalFormatting sqref="B2:B47">
    <cfRule type="containsText" dxfId="25" priority="1" operator="containsText" text="OK">
      <formula>NOT(ISERROR(SEARCH("OK",B2)))</formula>
    </cfRule>
    <cfRule type="containsText" dxfId="24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BB53-C8E3-42EE-877A-01C843D959BF}">
  <sheetPr>
    <tabColor rgb="FF00B0F0"/>
  </sheetPr>
  <dimension ref="A1:I67"/>
  <sheetViews>
    <sheetView topLeftCell="B37" workbookViewId="0">
      <selection activeCell="K25" sqref="K25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Table156789101112[[#This Row],[Full Name]]</f>
        <v>POTTER, Tom</v>
      </c>
      <c r="B2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" s="26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30</v>
      </c>
      <c r="D2" s="7">
        <f>IF(Table156789101112[[#This Row],[Category]]="","",IF(Table156789101112[[#This Row],[Category]]="M",COUNTIF($I$2:$I2,"M"),IF(Table156789101112[[#This Row],[Category]]="F",COUNTIF($I$2:$I2,"F"),0)))</f>
        <v>1</v>
      </c>
      <c r="E2" s="34">
        <v>2</v>
      </c>
      <c r="F2" s="35">
        <v>6.7013888888888887E-3</v>
      </c>
      <c r="G2" s="36" t="s">
        <v>301</v>
      </c>
      <c r="H2" s="36" t="s">
        <v>64</v>
      </c>
      <c r="I2" s="37" t="s">
        <v>146</v>
      </c>
    </row>
    <row r="3" spans="1:9" x14ac:dyDescent="0.25">
      <c r="A3" s="26" t="str">
        <f>Table156789101112[[#This Row],[Full Name]]</f>
        <v>PARKER, Mark</v>
      </c>
      <c r="B3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29</v>
      </c>
      <c r="D3" s="7">
        <f>IF(Table156789101112[[#This Row],[Category]]="","",IF(Table156789101112[[#This Row],[Category]]="M",COUNTIF($I$2:$I3,"M"),IF(Table156789101112[[#This Row],[Category]]="F",COUNTIF($I$2:$I3,"F"),0)))</f>
        <v>2</v>
      </c>
      <c r="E3" s="34">
        <v>4</v>
      </c>
      <c r="F3" s="35">
        <v>6.851851851851852E-3</v>
      </c>
      <c r="G3" s="36" t="s">
        <v>302</v>
      </c>
      <c r="H3" s="36" t="s">
        <v>2</v>
      </c>
      <c r="I3" s="37" t="s">
        <v>146</v>
      </c>
    </row>
    <row r="4" spans="1:9" x14ac:dyDescent="0.25">
      <c r="A4" s="26" t="str">
        <f>Table156789101112[[#This Row],[Full Name]]</f>
        <v>WIDEMAN, Oliver</v>
      </c>
      <c r="B4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28</v>
      </c>
      <c r="D4" s="7">
        <f>IF(Table156789101112[[#This Row],[Category]]="","",IF(Table156789101112[[#This Row],[Category]]="M",COUNTIF($I$2:$I4,"M"),IF(Table156789101112[[#This Row],[Category]]="F",COUNTIF($I$2:$I4,"F"),0)))</f>
        <v>3</v>
      </c>
      <c r="E4" s="34">
        <v>9</v>
      </c>
      <c r="F4" s="35">
        <v>7.083333333333333E-3</v>
      </c>
      <c r="G4" s="36" t="s">
        <v>303</v>
      </c>
      <c r="H4" s="36" t="s">
        <v>304</v>
      </c>
      <c r="I4" s="37" t="s">
        <v>146</v>
      </c>
    </row>
    <row r="5" spans="1:9" x14ac:dyDescent="0.25">
      <c r="A5" s="26" t="str">
        <f>Table156789101112[[#This Row],[Full Name]]</f>
        <v>PLEASS, Matt</v>
      </c>
      <c r="B5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27</v>
      </c>
      <c r="D5" s="7">
        <f>IF(Table156789101112[[#This Row],[Category]]="","",IF(Table156789101112[[#This Row],[Category]]="M",COUNTIF($I$2:$I5,"M"),IF(Table156789101112[[#This Row],[Category]]="F",COUNTIF($I$2:$I5,"F"),0)))</f>
        <v>4</v>
      </c>
      <c r="E5" s="34">
        <v>16</v>
      </c>
      <c r="F5" s="35">
        <v>7.2106481481481483E-3</v>
      </c>
      <c r="G5" s="36" t="s">
        <v>305</v>
      </c>
      <c r="H5" s="36" t="s">
        <v>69</v>
      </c>
      <c r="I5" s="37" t="s">
        <v>146</v>
      </c>
    </row>
    <row r="6" spans="1:9" x14ac:dyDescent="0.25">
      <c r="A6" s="26" t="str">
        <f>Table156789101112[[#This Row],[Full Name]]</f>
        <v>BADEN, Rob</v>
      </c>
      <c r="B6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26</v>
      </c>
      <c r="D6" s="7">
        <f>IF(Table156789101112[[#This Row],[Category]]="","",IF(Table156789101112[[#This Row],[Category]]="M",COUNTIF($I$2:$I6,"M"),IF(Table156789101112[[#This Row],[Category]]="F",COUNTIF($I$2:$I6,"F"),0)))</f>
        <v>5</v>
      </c>
      <c r="E6" s="34">
        <v>20</v>
      </c>
      <c r="F6" s="35">
        <v>7.2685185185185188E-3</v>
      </c>
      <c r="G6" s="36" t="s">
        <v>306</v>
      </c>
      <c r="H6" s="36" t="s">
        <v>103</v>
      </c>
      <c r="I6" s="37" t="s">
        <v>146</v>
      </c>
    </row>
    <row r="7" spans="1:9" x14ac:dyDescent="0.25">
      <c r="A7" s="26" t="str">
        <f>Table156789101112[[#This Row],[Full Name]]</f>
        <v>COX, James</v>
      </c>
      <c r="B7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7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25</v>
      </c>
      <c r="D7" s="7">
        <f>IF(Table156789101112[[#This Row],[Category]]="","",IF(Table156789101112[[#This Row],[Category]]="M",COUNTIF($I$2:$I7,"M"),IF(Table156789101112[[#This Row],[Category]]="F",COUNTIF($I$2:$I7,"F"),0)))</f>
        <v>6</v>
      </c>
      <c r="E7" s="34">
        <v>28</v>
      </c>
      <c r="F7" s="35">
        <v>7.5347222222222222E-3</v>
      </c>
      <c r="G7" s="36" t="s">
        <v>307</v>
      </c>
      <c r="H7" s="36" t="s">
        <v>49</v>
      </c>
      <c r="I7" s="37" t="s">
        <v>146</v>
      </c>
    </row>
    <row r="8" spans="1:9" x14ac:dyDescent="0.25">
      <c r="A8" s="26" t="str">
        <f>Table156789101112[[#This Row],[Full Name]]</f>
        <v>SIDANI, Ramzi</v>
      </c>
      <c r="B8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8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24</v>
      </c>
      <c r="D8" s="7">
        <f>IF(Table156789101112[[#This Row],[Category]]="","",IF(Table156789101112[[#This Row],[Category]]="M",COUNTIF($I$2:$I8,"M"),IF(Table156789101112[[#This Row],[Category]]="F",COUNTIF($I$2:$I8,"F"),0)))</f>
        <v>7</v>
      </c>
      <c r="E8" s="34">
        <v>35</v>
      </c>
      <c r="F8" s="35">
        <v>7.6273148148148151E-3</v>
      </c>
      <c r="G8" s="36" t="s">
        <v>308</v>
      </c>
      <c r="H8" s="36" t="s">
        <v>1</v>
      </c>
      <c r="I8" s="37" t="s">
        <v>146</v>
      </c>
    </row>
    <row r="9" spans="1:9" x14ac:dyDescent="0.25">
      <c r="A9" s="26" t="str">
        <f>Table156789101112[[#This Row],[Full Name]]</f>
        <v>GILES, George</v>
      </c>
      <c r="B9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9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23</v>
      </c>
      <c r="D9" s="7">
        <f>IF(Table156789101112[[#This Row],[Category]]="","",IF(Table156789101112[[#This Row],[Category]]="M",COUNTIF($I$2:$I9,"M"),IF(Table156789101112[[#This Row],[Category]]="F",COUNTIF($I$2:$I9,"F"),0)))</f>
        <v>8</v>
      </c>
      <c r="E9" s="34">
        <v>36</v>
      </c>
      <c r="F9" s="35">
        <v>7.6388888888888886E-3</v>
      </c>
      <c r="G9" s="36" t="s">
        <v>309</v>
      </c>
      <c r="H9" s="36" t="s">
        <v>128</v>
      </c>
      <c r="I9" s="37" t="s">
        <v>146</v>
      </c>
    </row>
    <row r="10" spans="1:9" x14ac:dyDescent="0.25">
      <c r="A10" s="26" t="str">
        <f>Table156789101112[[#This Row],[Full Name]]</f>
        <v>WIDEMAN, Karl</v>
      </c>
      <c r="B10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0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22</v>
      </c>
      <c r="D10" s="7">
        <f>IF(Table156789101112[[#This Row],[Category]]="","",IF(Table156789101112[[#This Row],[Category]]="M",COUNTIF($I$2:$I10,"M"),IF(Table156789101112[[#This Row],[Category]]="F",COUNTIF($I$2:$I10,"F"),0)))</f>
        <v>9</v>
      </c>
      <c r="E10" s="34">
        <v>43</v>
      </c>
      <c r="F10" s="35">
        <v>7.6967592592592591E-3</v>
      </c>
      <c r="G10" s="36" t="s">
        <v>310</v>
      </c>
      <c r="H10" s="36" t="s">
        <v>3</v>
      </c>
      <c r="I10" s="37" t="s">
        <v>146</v>
      </c>
    </row>
    <row r="11" spans="1:9" x14ac:dyDescent="0.25">
      <c r="A11" s="26" t="str">
        <f>Table156789101112[[#This Row],[Full Name]]</f>
        <v>BOLTON, Ian</v>
      </c>
      <c r="B11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1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21</v>
      </c>
      <c r="D11" s="7">
        <f>IF(Table156789101112[[#This Row],[Category]]="","",IF(Table156789101112[[#This Row],[Category]]="M",COUNTIF($I$2:$I11,"M"),IF(Table156789101112[[#This Row],[Category]]="F",COUNTIF($I$2:$I11,"F"),0)))</f>
        <v>10</v>
      </c>
      <c r="E11" s="34">
        <v>50</v>
      </c>
      <c r="F11" s="35">
        <v>7.8009259259259256E-3</v>
      </c>
      <c r="G11" s="36" t="s">
        <v>311</v>
      </c>
      <c r="H11" s="36" t="s">
        <v>5</v>
      </c>
      <c r="I11" s="37" t="s">
        <v>146</v>
      </c>
    </row>
    <row r="12" spans="1:9" ht="29.25" x14ac:dyDescent="0.25">
      <c r="A12" s="26" t="str">
        <f>Table156789101112[[#This Row],[Full Name]]</f>
        <v>BLADON-COPE, Daniel</v>
      </c>
      <c r="B12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2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20</v>
      </c>
      <c r="D12" s="7">
        <f>IF(Table156789101112[[#This Row],[Category]]="","",IF(Table156789101112[[#This Row],[Category]]="M",COUNTIF($I$2:$I12,"M"),IF(Table156789101112[[#This Row],[Category]]="F",COUNTIF($I$2:$I12,"F"),0)))</f>
        <v>11</v>
      </c>
      <c r="E12" s="34">
        <v>62</v>
      </c>
      <c r="F12" s="35">
        <v>8.0092592592592594E-3</v>
      </c>
      <c r="G12" s="36" t="s">
        <v>312</v>
      </c>
      <c r="H12" s="36" t="s">
        <v>282</v>
      </c>
      <c r="I12" s="37" t="s">
        <v>146</v>
      </c>
    </row>
    <row r="13" spans="1:9" x14ac:dyDescent="0.25">
      <c r="A13" s="26" t="str">
        <f>Table156789101112[[#This Row],[Full Name]]</f>
        <v>HORN, Patrick</v>
      </c>
      <c r="B13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3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19</v>
      </c>
      <c r="D13" s="7">
        <f>IF(Table156789101112[[#This Row],[Category]]="","",IF(Table156789101112[[#This Row],[Category]]="M",COUNTIF($I$2:$I13,"M"),IF(Table156789101112[[#This Row],[Category]]="F",COUNTIF($I$2:$I13,"F"),0)))</f>
        <v>12</v>
      </c>
      <c r="E13" s="34">
        <v>63</v>
      </c>
      <c r="F13" s="35">
        <v>8.0324074074074082E-3</v>
      </c>
      <c r="G13" s="36" t="s">
        <v>313</v>
      </c>
      <c r="H13" s="36" t="s">
        <v>46</v>
      </c>
      <c r="I13" s="37" t="s">
        <v>146</v>
      </c>
    </row>
    <row r="14" spans="1:9" x14ac:dyDescent="0.25">
      <c r="A14" s="26" t="str">
        <f>Table156789101112[[#This Row],[Full Name]]</f>
        <v>HAMPSON, Richard</v>
      </c>
      <c r="B14" s="28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4" s="28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18</v>
      </c>
      <c r="D14" s="7">
        <f>IF(Table156789101112[[#This Row],[Category]]="","",IF(Table156789101112[[#This Row],[Category]]="M",COUNTIF($I$2:$I14,"M"),IF(Table156789101112[[#This Row],[Category]]="F",COUNTIF($I$2:$I14,"F"),0)))</f>
        <v>13</v>
      </c>
      <c r="E14" s="34">
        <v>65</v>
      </c>
      <c r="F14" s="35">
        <v>8.0439814814814818E-3</v>
      </c>
      <c r="G14" s="36" t="s">
        <v>313</v>
      </c>
      <c r="H14" s="36" t="s">
        <v>118</v>
      </c>
      <c r="I14" s="37" t="s">
        <v>146</v>
      </c>
    </row>
    <row r="15" spans="1:9" x14ac:dyDescent="0.25">
      <c r="A15" s="27" t="str">
        <f>Table156789101112[[#This Row],[Full Name]]</f>
        <v>ROWLES, Nick</v>
      </c>
      <c r="B15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5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17</v>
      </c>
      <c r="D15" s="7">
        <f>IF(Table156789101112[[#This Row],[Category]]="","",IF(Table156789101112[[#This Row],[Category]]="M",COUNTIF($I$2:$I15,"M"),IF(Table156789101112[[#This Row],[Category]]="F",COUNTIF($I$2:$I15,"F"),0)))</f>
        <v>14</v>
      </c>
      <c r="E15" s="38">
        <v>71</v>
      </c>
      <c r="F15" s="39">
        <v>8.1597222222222227E-3</v>
      </c>
      <c r="G15" s="40" t="s">
        <v>314</v>
      </c>
      <c r="H15" s="40" t="s">
        <v>37</v>
      </c>
      <c r="I15" s="41" t="s">
        <v>146</v>
      </c>
    </row>
    <row r="16" spans="1:9" x14ac:dyDescent="0.25">
      <c r="A16" s="27" t="str">
        <f>Table156789101112[[#This Row],[Full Name]]</f>
        <v>CODD, Paul</v>
      </c>
      <c r="B16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6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16</v>
      </c>
      <c r="D16" s="7">
        <f>IF(Table156789101112[[#This Row],[Category]]="","",IF(Table156789101112[[#This Row],[Category]]="M",COUNTIF($I$2:$I16,"M"),IF(Table156789101112[[#This Row],[Category]]="F",COUNTIF($I$2:$I16,"F"),0)))</f>
        <v>15</v>
      </c>
      <c r="E16" s="34">
        <v>76</v>
      </c>
      <c r="F16" s="35">
        <v>8.2291666666666659E-3</v>
      </c>
      <c r="G16" s="36" t="s">
        <v>315</v>
      </c>
      <c r="H16" s="36" t="s">
        <v>48</v>
      </c>
      <c r="I16" s="37" t="s">
        <v>146</v>
      </c>
    </row>
    <row r="17" spans="1:9" x14ac:dyDescent="0.25">
      <c r="A17" s="27" t="str">
        <f>Table156789101112[[#This Row],[Full Name]]</f>
        <v>WIDEMAN, Emily</v>
      </c>
      <c r="B17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7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30</v>
      </c>
      <c r="D17" s="7">
        <f>IF(Table156789101112[[#This Row],[Category]]="","",IF(Table156789101112[[#This Row],[Category]]="M",COUNTIF($I$2:$I17,"M"),IF(Table156789101112[[#This Row],[Category]]="F",COUNTIF($I$2:$I17,"F"),0)))</f>
        <v>1</v>
      </c>
      <c r="E17" s="34">
        <v>78</v>
      </c>
      <c r="F17" s="35">
        <v>8.2523148148148148E-3</v>
      </c>
      <c r="G17" s="36" t="s">
        <v>316</v>
      </c>
      <c r="H17" s="36" t="s">
        <v>38</v>
      </c>
      <c r="I17" s="37" t="s">
        <v>156</v>
      </c>
    </row>
    <row r="18" spans="1:9" x14ac:dyDescent="0.25">
      <c r="A18" s="27" t="str">
        <f>Table156789101112[[#This Row],[Full Name]]</f>
        <v>BARNES, Louis</v>
      </c>
      <c r="B18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8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15</v>
      </c>
      <c r="D18" s="7">
        <f>IF(Table156789101112[[#This Row],[Category]]="","",IF(Table156789101112[[#This Row],[Category]]="M",COUNTIF($I$2:$I18,"M"),IF(Table156789101112[[#This Row],[Category]]="F",COUNTIF($I$2:$I18,"F"),0)))</f>
        <v>16</v>
      </c>
      <c r="E18" s="34">
        <v>81</v>
      </c>
      <c r="F18" s="35">
        <v>8.2870370370370372E-3</v>
      </c>
      <c r="G18" s="36" t="s">
        <v>317</v>
      </c>
      <c r="H18" s="36" t="s">
        <v>4</v>
      </c>
      <c r="I18" s="37" t="s">
        <v>146</v>
      </c>
    </row>
    <row r="19" spans="1:9" x14ac:dyDescent="0.25">
      <c r="A19" s="27" t="str">
        <f>Table156789101112[[#This Row],[Full Name]]</f>
        <v>CHAMBERS, Alistair</v>
      </c>
      <c r="B19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19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14</v>
      </c>
      <c r="D19" s="7">
        <f>IF(Table156789101112[[#This Row],[Category]]="","",IF(Table156789101112[[#This Row],[Category]]="M",COUNTIF($I$2:$I19,"M"),IF(Table156789101112[[#This Row],[Category]]="F",COUNTIF($I$2:$I19,"F"),0)))</f>
        <v>17</v>
      </c>
      <c r="E19" s="34">
        <v>84</v>
      </c>
      <c r="F19" s="35">
        <v>8.3101851851851843E-3</v>
      </c>
      <c r="G19" s="36" t="s">
        <v>318</v>
      </c>
      <c r="H19" s="36" t="s">
        <v>68</v>
      </c>
      <c r="I19" s="37" t="s">
        <v>146</v>
      </c>
    </row>
    <row r="20" spans="1:9" x14ac:dyDescent="0.25">
      <c r="A20" s="27" t="str">
        <f>Table156789101112[[#This Row],[Full Name]]</f>
        <v>MARTIN, Richard</v>
      </c>
      <c r="B20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0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13</v>
      </c>
      <c r="D20" s="7">
        <f>IF(Table156789101112[[#This Row],[Category]]="","",IF(Table156789101112[[#This Row],[Category]]="M",COUNTIF($I$2:$I20,"M"),IF(Table156789101112[[#This Row],[Category]]="F",COUNTIF($I$2:$I20,"F"),0)))</f>
        <v>18</v>
      </c>
      <c r="E20" s="34">
        <v>89</v>
      </c>
      <c r="F20" s="35">
        <v>8.3564814814814821E-3</v>
      </c>
      <c r="G20" s="36" t="s">
        <v>319</v>
      </c>
      <c r="H20" s="36" t="s">
        <v>72</v>
      </c>
      <c r="I20" s="37" t="s">
        <v>146</v>
      </c>
    </row>
    <row r="21" spans="1:9" x14ac:dyDescent="0.25">
      <c r="A21" s="27" t="str">
        <f>Table156789101112[[#This Row],[Full Name]]</f>
        <v>PARKER, Emily</v>
      </c>
      <c r="B21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1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29</v>
      </c>
      <c r="D21" s="7">
        <f>IF(Table156789101112[[#This Row],[Category]]="","",IF(Table156789101112[[#This Row],[Category]]="M",COUNTIF($I$2:$I21,"M"),IF(Table156789101112[[#This Row],[Category]]="F",COUNTIF($I$2:$I21,"F"),0)))</f>
        <v>2</v>
      </c>
      <c r="E21" s="34">
        <v>93</v>
      </c>
      <c r="F21" s="35">
        <v>8.3912037037037045E-3</v>
      </c>
      <c r="G21" s="36" t="s">
        <v>320</v>
      </c>
      <c r="H21" s="36" t="s">
        <v>256</v>
      </c>
      <c r="I21" s="37" t="s">
        <v>156</v>
      </c>
    </row>
    <row r="22" spans="1:9" x14ac:dyDescent="0.25">
      <c r="A22" s="27" t="str">
        <f>Table156789101112[[#This Row],[Full Name]]</f>
        <v>MONAGHAN, Amelia</v>
      </c>
      <c r="B22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2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28</v>
      </c>
      <c r="D22" s="7">
        <f>IF(Table156789101112[[#This Row],[Category]]="","",IF(Table156789101112[[#This Row],[Category]]="M",COUNTIF($I$2:$I22,"M"),IF(Table156789101112[[#This Row],[Category]]="F",COUNTIF($I$2:$I22,"F"),0)))</f>
        <v>3</v>
      </c>
      <c r="E22" s="34">
        <v>94</v>
      </c>
      <c r="F22" s="35">
        <v>8.4259259259259253E-3</v>
      </c>
      <c r="G22" s="36" t="s">
        <v>321</v>
      </c>
      <c r="H22" s="36" t="s">
        <v>93</v>
      </c>
      <c r="I22" s="37" t="s">
        <v>156</v>
      </c>
    </row>
    <row r="23" spans="1:9" x14ac:dyDescent="0.25">
      <c r="A23" s="27" t="str">
        <f>Table156789101112[[#This Row],[Full Name]]</f>
        <v>WOOD, Craig</v>
      </c>
      <c r="B23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3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12</v>
      </c>
      <c r="D23" s="7">
        <f>IF(Table156789101112[[#This Row],[Category]]="","",IF(Table156789101112[[#This Row],[Category]]="M",COUNTIF($I$2:$I23,"M"),IF(Table156789101112[[#This Row],[Category]]="F",COUNTIF($I$2:$I23,"F"),0)))</f>
        <v>19</v>
      </c>
      <c r="E23" s="34">
        <v>95</v>
      </c>
      <c r="F23" s="35">
        <v>8.4490740740740741E-3</v>
      </c>
      <c r="G23" s="36" t="s">
        <v>322</v>
      </c>
      <c r="H23" s="36" t="s">
        <v>323</v>
      </c>
      <c r="I23" s="37" t="s">
        <v>146</v>
      </c>
    </row>
    <row r="24" spans="1:9" x14ac:dyDescent="0.25">
      <c r="A24" s="27" t="str">
        <f>Table156789101112[[#This Row],[Full Name]]</f>
        <v>HOPE, Rich</v>
      </c>
      <c r="B24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4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11</v>
      </c>
      <c r="D24" s="7">
        <f>IF(Table156789101112[[#This Row],[Category]]="","",IF(Table156789101112[[#This Row],[Category]]="M",COUNTIF($I$2:$I24,"M"),IF(Table156789101112[[#This Row],[Category]]="F",COUNTIF($I$2:$I24,"F"),0)))</f>
        <v>20</v>
      </c>
      <c r="E24" s="34">
        <v>102</v>
      </c>
      <c r="F24" s="35">
        <v>8.5532407407407415E-3</v>
      </c>
      <c r="G24" s="36" t="s">
        <v>324</v>
      </c>
      <c r="H24" s="36" t="s">
        <v>39</v>
      </c>
      <c r="I24" s="37" t="s">
        <v>146</v>
      </c>
    </row>
    <row r="25" spans="1:9" x14ac:dyDescent="0.25">
      <c r="A25" s="27" t="str">
        <f>Table156789101112[[#This Row],[Full Name]]</f>
        <v>ALLSOP, Andrew</v>
      </c>
      <c r="B25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5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10</v>
      </c>
      <c r="D25" s="7">
        <f>IF(Table156789101112[[#This Row],[Category]]="","",IF(Table156789101112[[#This Row],[Category]]="M",COUNTIF($I$2:$I25,"M"),IF(Table156789101112[[#This Row],[Category]]="F",COUNTIF($I$2:$I25,"F"),0)))</f>
        <v>21</v>
      </c>
      <c r="E25" s="34">
        <v>121</v>
      </c>
      <c r="F25" s="35">
        <v>8.8310185185185193E-3</v>
      </c>
      <c r="G25" s="36" t="s">
        <v>278</v>
      </c>
      <c r="H25" s="36" t="s">
        <v>177</v>
      </c>
      <c r="I25" s="37" t="s">
        <v>146</v>
      </c>
    </row>
    <row r="26" spans="1:9" x14ac:dyDescent="0.25">
      <c r="A26" s="27" t="str">
        <f>Table156789101112[[#This Row],[Full Name]]</f>
        <v>WOOD, Clare</v>
      </c>
      <c r="B26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6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27</v>
      </c>
      <c r="D26" s="7">
        <f>IF(Table156789101112[[#This Row],[Category]]="","",IF(Table156789101112[[#This Row],[Category]]="M",COUNTIF($I$2:$I26,"M"),IF(Table156789101112[[#This Row],[Category]]="F",COUNTIF($I$2:$I26,"F"),0)))</f>
        <v>4</v>
      </c>
      <c r="E26" s="34">
        <v>126</v>
      </c>
      <c r="F26" s="35">
        <v>8.8425925925925929E-3</v>
      </c>
      <c r="G26" s="36" t="s">
        <v>325</v>
      </c>
      <c r="H26" s="36" t="s">
        <v>100</v>
      </c>
      <c r="I26" s="37" t="s">
        <v>156</v>
      </c>
    </row>
    <row r="27" spans="1:9" x14ac:dyDescent="0.25">
      <c r="A27" s="27" t="str">
        <f>Table156789101112[[#This Row],[Full Name]]</f>
        <v>BLAND, Damon</v>
      </c>
      <c r="B27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7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9</v>
      </c>
      <c r="D27" s="7">
        <f>IF(Table156789101112[[#This Row],[Category]]="","",IF(Table156789101112[[#This Row],[Category]]="M",COUNTIF($I$2:$I27,"M"),IF(Table156789101112[[#This Row],[Category]]="F",COUNTIF($I$2:$I27,"F"),0)))</f>
        <v>22</v>
      </c>
      <c r="E27" s="34">
        <v>136</v>
      </c>
      <c r="F27" s="35">
        <v>9.0277777777777769E-3</v>
      </c>
      <c r="G27" s="36" t="s">
        <v>326</v>
      </c>
      <c r="H27" s="36" t="s">
        <v>9</v>
      </c>
      <c r="I27" s="37" t="s">
        <v>146</v>
      </c>
    </row>
    <row r="28" spans="1:9" x14ac:dyDescent="0.25">
      <c r="A28" s="27" t="str">
        <f>Table156789101112[[#This Row],[Full Name]]</f>
        <v>PARISH, Suzanne</v>
      </c>
      <c r="B28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8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26</v>
      </c>
      <c r="D28" s="7">
        <f>IF(Table156789101112[[#This Row],[Category]]="","",IF(Table156789101112[[#This Row],[Category]]="M",COUNTIF($I$2:$I28,"M"),IF(Table156789101112[[#This Row],[Category]]="F",COUNTIF($I$2:$I28,"F"),0)))</f>
        <v>5</v>
      </c>
      <c r="E28" s="34">
        <v>139</v>
      </c>
      <c r="F28" s="35">
        <v>9.0972222222222218E-3</v>
      </c>
      <c r="G28" s="36" t="s">
        <v>327</v>
      </c>
      <c r="H28" s="36" t="s">
        <v>96</v>
      </c>
      <c r="I28" s="37" t="s">
        <v>156</v>
      </c>
    </row>
    <row r="29" spans="1:9" x14ac:dyDescent="0.25">
      <c r="A29" s="27" t="str">
        <f>Table156789101112[[#This Row],[Full Name]]</f>
        <v>SMITH, Georgina</v>
      </c>
      <c r="B29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29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25</v>
      </c>
      <c r="D29" s="7">
        <f>IF(Table156789101112[[#This Row],[Category]]="","",IF(Table156789101112[[#This Row],[Category]]="M",COUNTIF($I$2:$I29,"M"),IF(Table156789101112[[#This Row],[Category]]="F",COUNTIF($I$2:$I29,"F"),0)))</f>
        <v>6</v>
      </c>
      <c r="E29" s="34">
        <v>139</v>
      </c>
      <c r="F29" s="35">
        <v>9.0972222222222218E-3</v>
      </c>
      <c r="G29" s="36" t="s">
        <v>327</v>
      </c>
      <c r="H29" s="36" t="s">
        <v>95</v>
      </c>
      <c r="I29" s="37" t="s">
        <v>156</v>
      </c>
    </row>
    <row r="30" spans="1:9" x14ac:dyDescent="0.25">
      <c r="A30" s="27" t="str">
        <f>Table156789101112[[#This Row],[Full Name]]</f>
        <v>OGDEN, Dan</v>
      </c>
      <c r="B30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0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8</v>
      </c>
      <c r="D30" s="7">
        <f>IF(Table156789101112[[#This Row],[Category]]="","",IF(Table156789101112[[#This Row],[Category]]="M",COUNTIF($I$2:$I30,"M"),IF(Table156789101112[[#This Row],[Category]]="F",COUNTIF($I$2:$I30,"F"),0)))</f>
        <v>23</v>
      </c>
      <c r="E30" s="34">
        <v>141</v>
      </c>
      <c r="F30" s="35">
        <v>9.1087962962962971E-3</v>
      </c>
      <c r="G30" s="36" t="s">
        <v>294</v>
      </c>
      <c r="H30" s="36" t="s">
        <v>287</v>
      </c>
      <c r="I30" s="37" t="s">
        <v>146</v>
      </c>
    </row>
    <row r="31" spans="1:9" x14ac:dyDescent="0.25">
      <c r="A31" s="27" t="str">
        <f>Table156789101112[[#This Row],[Full Name]]</f>
        <v>FLANAGAN, Mark</v>
      </c>
      <c r="B31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1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7</v>
      </c>
      <c r="D31" s="7">
        <f>IF(Table156789101112[[#This Row],[Category]]="","",IF(Table156789101112[[#This Row],[Category]]="M",COUNTIF($I$2:$I31,"M"),IF(Table156789101112[[#This Row],[Category]]="F",COUNTIF($I$2:$I31,"F"),0)))</f>
        <v>24</v>
      </c>
      <c r="E31" s="34">
        <v>143</v>
      </c>
      <c r="F31" s="35">
        <v>9.1319444444444443E-3</v>
      </c>
      <c r="G31" s="36" t="s">
        <v>328</v>
      </c>
      <c r="H31" s="36" t="s">
        <v>160</v>
      </c>
      <c r="I31" s="37" t="s">
        <v>146</v>
      </c>
    </row>
    <row r="32" spans="1:9" x14ac:dyDescent="0.25">
      <c r="A32" s="27" t="str">
        <f>Table156789101112[[#This Row],[Full Name]]</f>
        <v>STANLEY, Andrew</v>
      </c>
      <c r="B32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2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6</v>
      </c>
      <c r="D32" s="7">
        <f>IF(Table156789101112[[#This Row],[Category]]="","",IF(Table156789101112[[#This Row],[Category]]="M",COUNTIF($I$2:$I32,"M"),IF(Table156789101112[[#This Row],[Category]]="F",COUNTIF($I$2:$I32,"F"),0)))</f>
        <v>25</v>
      </c>
      <c r="E32" s="34">
        <v>147</v>
      </c>
      <c r="F32" s="35">
        <v>9.1435185185185178E-3</v>
      </c>
      <c r="G32" s="36" t="s">
        <v>328</v>
      </c>
      <c r="H32" s="36" t="s">
        <v>6</v>
      </c>
      <c r="I32" s="37" t="s">
        <v>146</v>
      </c>
    </row>
    <row r="33" spans="1:9" x14ac:dyDescent="0.25">
      <c r="A33" s="27" t="str">
        <f>Table156789101112[[#This Row],[Full Name]]</f>
        <v>CAIN, James</v>
      </c>
      <c r="B33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3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5</v>
      </c>
      <c r="D33" s="7">
        <f>IF(Table156789101112[[#This Row],[Category]]="","",IF(Table156789101112[[#This Row],[Category]]="M",COUNTIF($I$2:$I33,"M"),IF(Table156789101112[[#This Row],[Category]]="F",COUNTIF($I$2:$I33,"F"),0)))</f>
        <v>26</v>
      </c>
      <c r="E33" s="34">
        <v>162</v>
      </c>
      <c r="F33" s="35">
        <v>9.2476851851851852E-3</v>
      </c>
      <c r="G33" s="36" t="s">
        <v>253</v>
      </c>
      <c r="H33" s="36" t="s">
        <v>119</v>
      </c>
      <c r="I33" s="37" t="s">
        <v>146</v>
      </c>
    </row>
    <row r="34" spans="1:9" x14ac:dyDescent="0.25">
      <c r="A34" s="27" t="str">
        <f>Table156789101112[[#This Row],[Full Name]]</f>
        <v>JOYCE, Matthew</v>
      </c>
      <c r="B34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4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4</v>
      </c>
      <c r="D34" s="7">
        <f>IF(Table156789101112[[#This Row],[Category]]="","",IF(Table156789101112[[#This Row],[Category]]="M",COUNTIF($I$2:$I34,"M"),IF(Table156789101112[[#This Row],[Category]]="F",COUNTIF($I$2:$I34,"F"),0)))</f>
        <v>27</v>
      </c>
      <c r="E34" s="34">
        <v>164</v>
      </c>
      <c r="F34" s="35">
        <v>9.2708333333333341E-3</v>
      </c>
      <c r="G34" s="36" t="s">
        <v>329</v>
      </c>
      <c r="H34" s="36" t="s">
        <v>57</v>
      </c>
      <c r="I34" s="37" t="s">
        <v>146</v>
      </c>
    </row>
    <row r="35" spans="1:9" x14ac:dyDescent="0.25">
      <c r="A35" s="27" t="str">
        <f>Table156789101112[[#This Row],[Full Name]]</f>
        <v>ENION, Ruth</v>
      </c>
      <c r="B35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5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24</v>
      </c>
      <c r="D35" s="7">
        <f>IF(Table156789101112[[#This Row],[Category]]="","",IF(Table156789101112[[#This Row],[Category]]="M",COUNTIF($I$2:$I35,"M"),IF(Table156789101112[[#This Row],[Category]]="F",COUNTIF($I$2:$I35,"F"),0)))</f>
        <v>7</v>
      </c>
      <c r="E35" s="34">
        <v>165</v>
      </c>
      <c r="F35" s="35">
        <v>9.2939814814814812E-3</v>
      </c>
      <c r="G35" s="36" t="s">
        <v>230</v>
      </c>
      <c r="H35" s="36" t="s">
        <v>330</v>
      </c>
      <c r="I35" s="37" t="s">
        <v>156</v>
      </c>
    </row>
    <row r="36" spans="1:9" x14ac:dyDescent="0.25">
      <c r="A36" s="27" t="str">
        <f>Table156789101112[[#This Row],[Full Name]]</f>
        <v>SMITH, Victoria</v>
      </c>
      <c r="B36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6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23</v>
      </c>
      <c r="D36" s="7">
        <f>IF(Table156789101112[[#This Row],[Category]]="","",IF(Table156789101112[[#This Row],[Category]]="M",COUNTIF($I$2:$I36,"M"),IF(Table156789101112[[#This Row],[Category]]="F",COUNTIF($I$2:$I36,"F"),0)))</f>
        <v>8</v>
      </c>
      <c r="E36" s="34">
        <v>166</v>
      </c>
      <c r="F36" s="35">
        <v>9.3518518518518525E-3</v>
      </c>
      <c r="G36" s="36" t="s">
        <v>331</v>
      </c>
      <c r="H36" s="36" t="s">
        <v>41</v>
      </c>
      <c r="I36" s="37" t="s">
        <v>156</v>
      </c>
    </row>
    <row r="37" spans="1:9" x14ac:dyDescent="0.25">
      <c r="A37" s="27" t="str">
        <f>Table156789101112[[#This Row],[Full Name]]</f>
        <v>BRADFORD, Mark</v>
      </c>
      <c r="B37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7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3</v>
      </c>
      <c r="D37" s="7">
        <f>IF(Table156789101112[[#This Row],[Category]]="","",IF(Table156789101112[[#This Row],[Category]]="M",COUNTIF($I$2:$I37,"M"),IF(Table156789101112[[#This Row],[Category]]="F",COUNTIF($I$2:$I37,"F"),0)))</f>
        <v>28</v>
      </c>
      <c r="E37" s="34">
        <v>168</v>
      </c>
      <c r="F37" s="35">
        <v>9.3634259259259261E-3</v>
      </c>
      <c r="G37" s="36" t="s">
        <v>331</v>
      </c>
      <c r="H37" s="36" t="s">
        <v>7</v>
      </c>
      <c r="I37" s="37" t="s">
        <v>146</v>
      </c>
    </row>
    <row r="38" spans="1:9" x14ac:dyDescent="0.25">
      <c r="A38" s="27" t="str">
        <f>Table156789101112[[#This Row],[Full Name]]</f>
        <v>ASHTON, Mindy</v>
      </c>
      <c r="B38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8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22</v>
      </c>
      <c r="D38" s="7">
        <f>IF(Table156789101112[[#This Row],[Category]]="","",IF(Table156789101112[[#This Row],[Category]]="M",COUNTIF($I$2:$I38,"M"),IF(Table156789101112[[#This Row],[Category]]="F",COUNTIF($I$2:$I38,"F"),0)))</f>
        <v>9</v>
      </c>
      <c r="E38" s="34">
        <v>172</v>
      </c>
      <c r="F38" s="35">
        <v>9.4097222222222221E-3</v>
      </c>
      <c r="G38" s="36" t="s">
        <v>280</v>
      </c>
      <c r="H38" s="36" t="s">
        <v>52</v>
      </c>
      <c r="I38" s="37" t="s">
        <v>156</v>
      </c>
    </row>
    <row r="39" spans="1:9" x14ac:dyDescent="0.25">
      <c r="A39" s="27" t="str">
        <f>Table156789101112[[#This Row],[Full Name]]</f>
        <v>HOPE, Colin</v>
      </c>
      <c r="B39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39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</v>
      </c>
      <c r="D39" s="7">
        <f>IF(Table156789101112[[#This Row],[Category]]="","",IF(Table156789101112[[#This Row],[Category]]="M",COUNTIF($I$2:$I39,"M"),IF(Table156789101112[[#This Row],[Category]]="F",COUNTIF($I$2:$I39,"F"),0)))</f>
        <v>29</v>
      </c>
      <c r="E39" s="34">
        <v>176</v>
      </c>
      <c r="F39" s="35">
        <v>9.4560185185185181E-3</v>
      </c>
      <c r="G39" s="36" t="s">
        <v>231</v>
      </c>
      <c r="H39" s="36" t="s">
        <v>70</v>
      </c>
      <c r="I39" s="37" t="s">
        <v>146</v>
      </c>
    </row>
    <row r="40" spans="1:9" x14ac:dyDescent="0.25">
      <c r="A40" s="27" t="str">
        <f>Table156789101112[[#This Row],[Full Name]]</f>
        <v>LAWLESS, Sandra</v>
      </c>
      <c r="B40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0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21</v>
      </c>
      <c r="D40" s="7">
        <f>IF(Table156789101112[[#This Row],[Category]]="","",IF(Table156789101112[[#This Row],[Category]]="M",COUNTIF($I$2:$I40,"M"),IF(Table156789101112[[#This Row],[Category]]="F",COUNTIF($I$2:$I40,"F"),0)))</f>
        <v>10</v>
      </c>
      <c r="E40" s="34">
        <v>184</v>
      </c>
      <c r="F40" s="35">
        <v>9.5486111111111119E-3</v>
      </c>
      <c r="G40" s="36" t="s">
        <v>255</v>
      </c>
      <c r="H40" s="36" t="s">
        <v>66</v>
      </c>
      <c r="I40" s="37" t="s">
        <v>156</v>
      </c>
    </row>
    <row r="41" spans="1:9" x14ac:dyDescent="0.25">
      <c r="A41" s="27" t="str">
        <f>Table156789101112[[#This Row],[Full Name]]</f>
        <v>GOLDINGAY, Harry</v>
      </c>
      <c r="B41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1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</v>
      </c>
      <c r="D41" s="7">
        <f>IF(Table156789101112[[#This Row],[Category]]="","",IF(Table156789101112[[#This Row],[Category]]="M",COUNTIF($I$2:$I41,"M"),IF(Table156789101112[[#This Row],[Category]]="F",COUNTIF($I$2:$I41,"F"),0)))</f>
        <v>30</v>
      </c>
      <c r="E41" s="34">
        <v>191</v>
      </c>
      <c r="F41" s="35">
        <v>9.6064814814814815E-3</v>
      </c>
      <c r="G41" s="36" t="s">
        <v>212</v>
      </c>
      <c r="H41" s="36" t="s">
        <v>125</v>
      </c>
      <c r="I41" s="37" t="s">
        <v>146</v>
      </c>
    </row>
    <row r="42" spans="1:9" x14ac:dyDescent="0.25">
      <c r="A42" s="27" t="str">
        <f>Table156789101112[[#This Row],[Full Name]]</f>
        <v>WATKINS, Catherine</v>
      </c>
      <c r="B42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2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20</v>
      </c>
      <c r="D42" s="7">
        <f>IF(Table156789101112[[#This Row],[Category]]="","",IF(Table156789101112[[#This Row],[Category]]="M",COUNTIF($I$2:$I42,"M"),IF(Table156789101112[[#This Row],[Category]]="F",COUNTIF($I$2:$I42,"F"),0)))</f>
        <v>11</v>
      </c>
      <c r="E42" s="34">
        <v>194</v>
      </c>
      <c r="F42" s="35">
        <v>9.6296296296296303E-3</v>
      </c>
      <c r="G42" s="36" t="s">
        <v>189</v>
      </c>
      <c r="H42" s="36" t="s">
        <v>98</v>
      </c>
      <c r="I42" s="37" t="s">
        <v>156</v>
      </c>
    </row>
    <row r="43" spans="1:9" x14ac:dyDescent="0.25">
      <c r="A43" s="27" t="str">
        <f>Table156789101112[[#This Row],[Full Name]]</f>
        <v>TRICKETT, Andrea</v>
      </c>
      <c r="B43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3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19</v>
      </c>
      <c r="D43" s="7">
        <f>IF(Table156789101112[[#This Row],[Category]]="","",IF(Table156789101112[[#This Row],[Category]]="M",COUNTIF($I$2:$I43,"M"),IF(Table156789101112[[#This Row],[Category]]="F",COUNTIF($I$2:$I43,"F"),0)))</f>
        <v>12</v>
      </c>
      <c r="E43" s="34">
        <v>199</v>
      </c>
      <c r="F43" s="35">
        <v>9.7453703703703695E-3</v>
      </c>
      <c r="G43" s="36" t="s">
        <v>191</v>
      </c>
      <c r="H43" s="36" t="s">
        <v>36</v>
      </c>
      <c r="I43" s="37" t="s">
        <v>156</v>
      </c>
    </row>
    <row r="44" spans="1:9" x14ac:dyDescent="0.25">
      <c r="A44" s="27" t="str">
        <f>Table156789101112[[#This Row],[Full Name]]</f>
        <v>JEFFERY, Helen</v>
      </c>
      <c r="B44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4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18</v>
      </c>
      <c r="D44" s="7">
        <f>IF(Table156789101112[[#This Row],[Category]]="","",IF(Table156789101112[[#This Row],[Category]]="M",COUNTIF($I$2:$I44,"M"),IF(Table156789101112[[#This Row],[Category]]="F",COUNTIF($I$2:$I44,"F"),0)))</f>
        <v>13</v>
      </c>
      <c r="E44" s="34">
        <v>201</v>
      </c>
      <c r="F44" s="35">
        <v>9.7569444444444448E-3</v>
      </c>
      <c r="G44" s="36" t="s">
        <v>191</v>
      </c>
      <c r="H44" s="36" t="s">
        <v>65</v>
      </c>
      <c r="I44" s="37" t="s">
        <v>156</v>
      </c>
    </row>
    <row r="45" spans="1:9" x14ac:dyDescent="0.25">
      <c r="A45" s="27" t="str">
        <f>Table156789101112[[#This Row],[Full Name]]</f>
        <v>BETTS, Fiona</v>
      </c>
      <c r="B45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5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17</v>
      </c>
      <c r="D45" s="7">
        <f>IF(Table156789101112[[#This Row],[Category]]="","",IF(Table156789101112[[#This Row],[Category]]="M",COUNTIF($I$2:$I45,"M"),IF(Table156789101112[[#This Row],[Category]]="F",COUNTIF($I$2:$I45,"F"),0)))</f>
        <v>14</v>
      </c>
      <c r="E45" s="34">
        <v>206</v>
      </c>
      <c r="F45" s="35">
        <v>9.7916666666666673E-3</v>
      </c>
      <c r="G45" s="36" t="s">
        <v>194</v>
      </c>
      <c r="H45" s="36" t="s">
        <v>51</v>
      </c>
      <c r="I45" s="37" t="s">
        <v>156</v>
      </c>
    </row>
    <row r="46" spans="1:9" x14ac:dyDescent="0.25">
      <c r="A46" s="27" t="str">
        <f>Table156789101112[[#This Row],[Full Name]]</f>
        <v>DYTHAM, Michelle</v>
      </c>
      <c r="B46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6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16</v>
      </c>
      <c r="D46" s="7">
        <f>IF(Table156789101112[[#This Row],[Category]]="","",IF(Table156789101112[[#This Row],[Category]]="M",COUNTIF($I$2:$I46,"M"),IF(Table156789101112[[#This Row],[Category]]="F",COUNTIF($I$2:$I46,"F"),0)))</f>
        <v>15</v>
      </c>
      <c r="E46" s="34">
        <v>208</v>
      </c>
      <c r="F46" s="35">
        <v>9.8379629629629633E-3</v>
      </c>
      <c r="G46" s="36" t="s">
        <v>332</v>
      </c>
      <c r="H46" s="36" t="s">
        <v>122</v>
      </c>
      <c r="I46" s="37" t="s">
        <v>156</v>
      </c>
    </row>
    <row r="47" spans="1:9" x14ac:dyDescent="0.25">
      <c r="A47" s="27" t="str">
        <f>Table156789101112[[#This Row],[Full Name]]</f>
        <v>TURNER, Sophie</v>
      </c>
      <c r="B47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7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15</v>
      </c>
      <c r="D47" s="7">
        <f>IF(Table156789101112[[#This Row],[Category]]="","",IF(Table156789101112[[#This Row],[Category]]="M",COUNTIF($I$2:$I47,"M"),IF(Table156789101112[[#This Row],[Category]]="F",COUNTIF($I$2:$I47,"F"),0)))</f>
        <v>16</v>
      </c>
      <c r="E47" s="34">
        <v>223</v>
      </c>
      <c r="F47" s="35">
        <v>1.0081018518518519E-2</v>
      </c>
      <c r="G47" s="36" t="s">
        <v>333</v>
      </c>
      <c r="H47" s="36" t="s">
        <v>127</v>
      </c>
      <c r="I47" s="37" t="s">
        <v>156</v>
      </c>
    </row>
    <row r="48" spans="1:9" x14ac:dyDescent="0.25">
      <c r="A48" s="27" t="str">
        <f>Table156789101112[[#This Row],[Full Name]]</f>
        <v>GRAVES, Laura</v>
      </c>
      <c r="B48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8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14</v>
      </c>
      <c r="D48" s="7">
        <f>IF(Table156789101112[[#This Row],[Category]]="","",IF(Table156789101112[[#This Row],[Category]]="M",COUNTIF($I$2:$I48,"M"),IF(Table156789101112[[#This Row],[Category]]="F",COUNTIF($I$2:$I48,"F"),0)))</f>
        <v>17</v>
      </c>
      <c r="E48" s="34">
        <v>227</v>
      </c>
      <c r="F48" s="35">
        <v>1.0127314814814815E-2</v>
      </c>
      <c r="G48" s="36" t="s">
        <v>196</v>
      </c>
      <c r="H48" s="36" t="s">
        <v>13</v>
      </c>
      <c r="I48" s="37" t="s">
        <v>156</v>
      </c>
    </row>
    <row r="49" spans="1:9" x14ac:dyDescent="0.25">
      <c r="A49" s="27" t="str">
        <f>Table156789101112[[#This Row],[Full Name]]</f>
        <v>MUMMERY, Ismay</v>
      </c>
      <c r="B49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49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13</v>
      </c>
      <c r="D49" s="7">
        <f>IF(Table156789101112[[#This Row],[Category]]="","",IF(Table156789101112[[#This Row],[Category]]="M",COUNTIF($I$2:$I49,"M"),IF(Table156789101112[[#This Row],[Category]]="F",COUNTIF($I$2:$I49,"F"),0)))</f>
        <v>18</v>
      </c>
      <c r="E49" s="34">
        <v>228</v>
      </c>
      <c r="F49" s="35">
        <v>1.0138888888888888E-2</v>
      </c>
      <c r="G49" s="36" t="s">
        <v>334</v>
      </c>
      <c r="H49" s="36" t="s">
        <v>168</v>
      </c>
      <c r="I49" s="37" t="s">
        <v>156</v>
      </c>
    </row>
    <row r="50" spans="1:9" x14ac:dyDescent="0.25">
      <c r="A50" s="27" t="str">
        <f>Table156789101112[[#This Row],[Full Name]]</f>
        <v>YEOMANS, Martin</v>
      </c>
      <c r="B50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0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0</v>
      </c>
      <c r="D50" s="7">
        <f>IF(Table156789101112[[#This Row],[Category]]="","",IF(Table156789101112[[#This Row],[Category]]="M",COUNTIF($I$2:$I50,"M"),IF(Table156789101112[[#This Row],[Category]]="F",COUNTIF($I$2:$I50,"F"),0)))</f>
        <v>31</v>
      </c>
      <c r="E50" s="34">
        <v>232</v>
      </c>
      <c r="F50" s="35">
        <v>1.0173611111111111E-2</v>
      </c>
      <c r="G50" s="36" t="s">
        <v>147</v>
      </c>
      <c r="H50" s="36" t="s">
        <v>10</v>
      </c>
      <c r="I50" s="37" t="s">
        <v>146</v>
      </c>
    </row>
    <row r="51" spans="1:9" x14ac:dyDescent="0.25">
      <c r="A51" s="26" t="str">
        <f>Table156789101112[[#This Row],[Full Name]]</f>
        <v>OSBORNE, Carolyn</v>
      </c>
      <c r="B51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1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12</v>
      </c>
      <c r="D51" s="69">
        <f>IF(Table156789101112[[#This Row],[Category]]="","",IF(Table156789101112[[#This Row],[Category]]="M",COUNTIF($I$2:$I51,"M"),IF(Table156789101112[[#This Row],[Category]]="F",COUNTIF($I$2:$I51,"F"),0)))</f>
        <v>19</v>
      </c>
      <c r="E51" s="34">
        <v>233</v>
      </c>
      <c r="F51" s="35">
        <v>1.0185185185185186E-2</v>
      </c>
      <c r="G51" s="36" t="s">
        <v>197</v>
      </c>
      <c r="H51" s="36" t="s">
        <v>12</v>
      </c>
      <c r="I51" s="37" t="s">
        <v>156</v>
      </c>
    </row>
    <row r="52" spans="1:9" x14ac:dyDescent="0.25">
      <c r="A52" s="26" t="str">
        <f>Table156789101112[[#This Row],[Full Name]]</f>
        <v>AVERILLO, Paul</v>
      </c>
      <c r="B52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2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0</v>
      </c>
      <c r="D52" s="69">
        <f>IF(Table156789101112[[#This Row],[Category]]="","",IF(Table156789101112[[#This Row],[Category]]="M",COUNTIF($I$2:$I52,"M"),IF(Table156789101112[[#This Row],[Category]]="F",COUNTIF($I$2:$I52,"F"),0)))</f>
        <v>32</v>
      </c>
      <c r="E52" s="34">
        <v>236</v>
      </c>
      <c r="F52" s="35">
        <v>1.0208333333333333E-2</v>
      </c>
      <c r="G52" s="36" t="s">
        <v>232</v>
      </c>
      <c r="H52" s="36" t="s">
        <v>54</v>
      </c>
      <c r="I52" s="37" t="s">
        <v>146</v>
      </c>
    </row>
    <row r="53" spans="1:9" x14ac:dyDescent="0.25">
      <c r="A53" s="26" t="str">
        <f>Table156789101112[[#This Row],[Full Name]]</f>
        <v>BENNION, Nancy</v>
      </c>
      <c r="B53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3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11</v>
      </c>
      <c r="D53" s="69">
        <f>IF(Table156789101112[[#This Row],[Category]]="","",IF(Table156789101112[[#This Row],[Category]]="M",COUNTIF($I$2:$I53,"M"),IF(Table156789101112[[#This Row],[Category]]="F",COUNTIF($I$2:$I53,"F"),0)))</f>
        <v>20</v>
      </c>
      <c r="E53" s="34">
        <v>240</v>
      </c>
      <c r="F53" s="35">
        <v>1.0243055555555556E-2</v>
      </c>
      <c r="G53" s="36" t="s">
        <v>245</v>
      </c>
      <c r="H53" s="36" t="s">
        <v>50</v>
      </c>
      <c r="I53" s="37" t="s">
        <v>156</v>
      </c>
    </row>
    <row r="54" spans="1:9" x14ac:dyDescent="0.25">
      <c r="A54" s="26" t="str">
        <f>Table156789101112[[#This Row],[Full Name]]</f>
        <v>POWDRILL, Neil</v>
      </c>
      <c r="B54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4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0</v>
      </c>
      <c r="D54" s="69">
        <f>IF(Table156789101112[[#This Row],[Category]]="","",IF(Table156789101112[[#This Row],[Category]]="M",COUNTIF($I$2:$I54,"M"),IF(Table156789101112[[#This Row],[Category]]="F",COUNTIF($I$2:$I54,"F"),0)))</f>
        <v>33</v>
      </c>
      <c r="E54" s="34">
        <v>242</v>
      </c>
      <c r="F54" s="35">
        <v>1.0266203703703704E-2</v>
      </c>
      <c r="G54" s="36" t="s">
        <v>258</v>
      </c>
      <c r="H54" s="36" t="s">
        <v>222</v>
      </c>
      <c r="I54" s="37" t="s">
        <v>146</v>
      </c>
    </row>
    <row r="55" spans="1:9" x14ac:dyDescent="0.25">
      <c r="A55" s="26" t="str">
        <f>Table156789101112[[#This Row],[Full Name]]</f>
        <v>SHAW, Gemma</v>
      </c>
      <c r="B55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5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10</v>
      </c>
      <c r="D55" s="69">
        <f>IF(Table156789101112[[#This Row],[Category]]="","",IF(Table156789101112[[#This Row],[Category]]="M",COUNTIF($I$2:$I55,"M"),IF(Table156789101112[[#This Row],[Category]]="F",COUNTIF($I$2:$I55,"F"),0)))</f>
        <v>21</v>
      </c>
      <c r="E55" s="34">
        <v>245</v>
      </c>
      <c r="F55" s="35">
        <v>1.0335648148148148E-2</v>
      </c>
      <c r="G55" s="36" t="s">
        <v>335</v>
      </c>
      <c r="H55" s="36" t="s">
        <v>21</v>
      </c>
      <c r="I55" s="37" t="s">
        <v>156</v>
      </c>
    </row>
    <row r="56" spans="1:9" x14ac:dyDescent="0.25">
      <c r="A56" s="26" t="str">
        <f>Table156789101112[[#This Row],[Full Name]]</f>
        <v>TAIT, Susan</v>
      </c>
      <c r="B56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6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9</v>
      </c>
      <c r="D56" s="69">
        <f>IF(Table156789101112[[#This Row],[Category]]="","",IF(Table156789101112[[#This Row],[Category]]="M",COUNTIF($I$2:$I56,"M"),IF(Table156789101112[[#This Row],[Category]]="F",COUNTIF($I$2:$I56,"F"),0)))</f>
        <v>22</v>
      </c>
      <c r="E56" s="34">
        <v>252</v>
      </c>
      <c r="F56" s="35">
        <v>1.0625000000000001E-2</v>
      </c>
      <c r="G56" s="36" t="s">
        <v>148</v>
      </c>
      <c r="H56" s="36" t="s">
        <v>58</v>
      </c>
      <c r="I56" s="37" t="s">
        <v>156</v>
      </c>
    </row>
    <row r="57" spans="1:9" x14ac:dyDescent="0.25">
      <c r="A57" s="26" t="str">
        <f>Table156789101112[[#This Row],[Full Name]]</f>
        <v>CODD, Sarah</v>
      </c>
      <c r="B57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7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8</v>
      </c>
      <c r="D57" s="69">
        <f>IF(Table156789101112[[#This Row],[Category]]="","",IF(Table156789101112[[#This Row],[Category]]="M",COUNTIF($I$2:$I57,"M"),IF(Table156789101112[[#This Row],[Category]]="F",COUNTIF($I$2:$I57,"F"),0)))</f>
        <v>23</v>
      </c>
      <c r="E57" s="34">
        <v>258</v>
      </c>
      <c r="F57" s="35">
        <v>1.0856481481481481E-2</v>
      </c>
      <c r="G57" s="36" t="s">
        <v>216</v>
      </c>
      <c r="H57" s="36" t="s">
        <v>137</v>
      </c>
      <c r="I57" s="37" t="s">
        <v>156</v>
      </c>
    </row>
    <row r="58" spans="1:9" x14ac:dyDescent="0.25">
      <c r="A58" s="26" t="str">
        <f>Table156789101112[[#This Row],[Full Name]]</f>
        <v>MEADOWS, Tor</v>
      </c>
      <c r="B58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8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7</v>
      </c>
      <c r="D58" s="69">
        <f>IF(Table156789101112[[#This Row],[Category]]="","",IF(Table156789101112[[#This Row],[Category]]="M",COUNTIF($I$2:$I58,"M"),IF(Table156789101112[[#This Row],[Category]]="F",COUNTIF($I$2:$I58,"F"),0)))</f>
        <v>24</v>
      </c>
      <c r="E58" s="34">
        <v>260</v>
      </c>
      <c r="F58" s="35">
        <v>1.0868055555555556E-2</v>
      </c>
      <c r="G58" s="36" t="s">
        <v>262</v>
      </c>
      <c r="H58" s="36" t="s">
        <v>99</v>
      </c>
      <c r="I58" s="37" t="s">
        <v>156</v>
      </c>
    </row>
    <row r="59" spans="1:9" x14ac:dyDescent="0.25">
      <c r="A59" s="26" t="str">
        <f>Table156789101112[[#This Row],[Full Name]]</f>
        <v>FINN, Helen</v>
      </c>
      <c r="B59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59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6</v>
      </c>
      <c r="D59" s="69">
        <f>IF(Table156789101112[[#This Row],[Category]]="","",IF(Table156789101112[[#This Row],[Category]]="M",COUNTIF($I$2:$I59,"M"),IF(Table156789101112[[#This Row],[Category]]="F",COUNTIF($I$2:$I59,"F"),0)))</f>
        <v>25</v>
      </c>
      <c r="E59" s="34">
        <v>261</v>
      </c>
      <c r="F59" s="35">
        <v>1.087962962962963E-2</v>
      </c>
      <c r="G59" s="36" t="s">
        <v>262</v>
      </c>
      <c r="H59" s="36" t="s">
        <v>47</v>
      </c>
      <c r="I59" s="37" t="s">
        <v>156</v>
      </c>
    </row>
    <row r="60" spans="1:9" x14ac:dyDescent="0.25">
      <c r="A60" s="26" t="str">
        <f>Table156789101112[[#This Row],[Full Name]]</f>
        <v>ATKINSON, Matt</v>
      </c>
      <c r="B60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0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0</v>
      </c>
      <c r="D60" s="69">
        <f>IF(Table156789101112[[#This Row],[Category]]="","",IF(Table156789101112[[#This Row],[Category]]="M",COUNTIF($I$2:$I60,"M"),IF(Table156789101112[[#This Row],[Category]]="F",COUNTIF($I$2:$I60,"F"),0)))</f>
        <v>34</v>
      </c>
      <c r="E60" s="34">
        <v>267</v>
      </c>
      <c r="F60" s="35">
        <v>1.0949074074074075E-2</v>
      </c>
      <c r="G60" s="36" t="s">
        <v>217</v>
      </c>
      <c r="H60" s="36" t="s">
        <v>244</v>
      </c>
      <c r="I60" s="37" t="s">
        <v>146</v>
      </c>
    </row>
    <row r="61" spans="1:9" x14ac:dyDescent="0.25">
      <c r="A61" s="26" t="str">
        <f>Table156789101112[[#This Row],[Full Name]]</f>
        <v>HEITMANN, Laura</v>
      </c>
      <c r="B61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1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5</v>
      </c>
      <c r="D61" s="69">
        <f>IF(Table156789101112[[#This Row],[Category]]="","",IF(Table156789101112[[#This Row],[Category]]="M",COUNTIF($I$2:$I61,"M"),IF(Table156789101112[[#This Row],[Category]]="F",COUNTIF($I$2:$I61,"F"),0)))</f>
        <v>26</v>
      </c>
      <c r="E61" s="34">
        <v>268</v>
      </c>
      <c r="F61" s="35">
        <v>1.0960648148148148E-2</v>
      </c>
      <c r="G61" s="36" t="s">
        <v>236</v>
      </c>
      <c r="H61" s="36" t="s">
        <v>240</v>
      </c>
      <c r="I61" s="37" t="s">
        <v>156</v>
      </c>
    </row>
    <row r="62" spans="1:9" x14ac:dyDescent="0.25">
      <c r="A62" s="26" t="str">
        <f>Table156789101112[[#This Row],[Full Name]]</f>
        <v>ALLSOP, Lucy</v>
      </c>
      <c r="B62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2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4</v>
      </c>
      <c r="D62" s="69">
        <f>IF(Table156789101112[[#This Row],[Category]]="","",IF(Table156789101112[[#This Row],[Category]]="M",COUNTIF($I$2:$I62,"M"),IF(Table156789101112[[#This Row],[Category]]="F",COUNTIF($I$2:$I62,"F"),0)))</f>
        <v>27</v>
      </c>
      <c r="E62" s="34">
        <v>273</v>
      </c>
      <c r="F62" s="35">
        <v>1.1030092592592593E-2</v>
      </c>
      <c r="G62" s="36" t="s">
        <v>336</v>
      </c>
      <c r="H62" s="36" t="s">
        <v>43</v>
      </c>
      <c r="I62" s="37" t="s">
        <v>156</v>
      </c>
    </row>
    <row r="63" spans="1:9" x14ac:dyDescent="0.25">
      <c r="A63" s="26" t="str">
        <f>Table156789101112[[#This Row],[Full Name]]</f>
        <v>MALONE, Sarah</v>
      </c>
      <c r="B63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3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3</v>
      </c>
      <c r="D63" s="69">
        <f>IF(Table156789101112[[#This Row],[Category]]="","",IF(Table156789101112[[#This Row],[Category]]="M",COUNTIF($I$2:$I63,"M"),IF(Table156789101112[[#This Row],[Category]]="F",COUNTIF($I$2:$I63,"F"),0)))</f>
        <v>28</v>
      </c>
      <c r="E63" s="34">
        <v>274</v>
      </c>
      <c r="F63" s="35">
        <v>1.1041666666666667E-2</v>
      </c>
      <c r="G63" s="36" t="s">
        <v>337</v>
      </c>
      <c r="H63" s="36" t="s">
        <v>14</v>
      </c>
      <c r="I63" s="37" t="s">
        <v>156</v>
      </c>
    </row>
    <row r="64" spans="1:9" x14ac:dyDescent="0.25">
      <c r="A64" s="26" t="str">
        <f>Table156789101112[[#This Row],[Full Name]]</f>
        <v>HOPE, Jenny</v>
      </c>
      <c r="B64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4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0</v>
      </c>
      <c r="D64" s="82">
        <f>IF(Table156789101112[[#This Row],[Category]]="","",IF(Table156789101112[[#This Row],[Category]]="M",COUNTIF($I$2:$I67,"M"),IF(Table156789101112[[#This Row],[Category]]="F",COUNTIF($I$2:$I67,"F"),0)))</f>
        <v>32</v>
      </c>
      <c r="E64" s="34">
        <v>287</v>
      </c>
      <c r="F64" s="35">
        <v>1.1400462962962963E-2</v>
      </c>
      <c r="G64" s="36" t="s">
        <v>338</v>
      </c>
      <c r="H64" s="36" t="s">
        <v>23</v>
      </c>
      <c r="I64" s="37" t="s">
        <v>156</v>
      </c>
    </row>
    <row r="65" spans="1:9" x14ac:dyDescent="0.25">
      <c r="A65" s="26" t="str">
        <f>Table156789101112[[#This Row],[Full Name]]</f>
        <v>BLAND, Jane</v>
      </c>
      <c r="B65" s="29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5" s="29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1</v>
      </c>
      <c r="D65" s="69">
        <f>IF(Table156789101112[[#This Row],[Category]]="","",IF(Table156789101112[[#This Row],[Category]]="M",COUNTIF($I$2:$I65,"M"),IF(Table156789101112[[#This Row],[Category]]="F",COUNTIF($I$2:$I65,"F"),0)))</f>
        <v>30</v>
      </c>
      <c r="E65" s="34">
        <v>296</v>
      </c>
      <c r="F65" s="35">
        <v>1.1782407407407408E-2</v>
      </c>
      <c r="G65" s="36" t="s">
        <v>339</v>
      </c>
      <c r="H65" s="36" t="s">
        <v>63</v>
      </c>
      <c r="I65" s="37" t="s">
        <v>156</v>
      </c>
    </row>
    <row r="66" spans="1:9" x14ac:dyDescent="0.25">
      <c r="A66" s="26" t="str">
        <f>Table156789101112[[#This Row],[Full Name]]</f>
        <v>BOLTON, Ellen</v>
      </c>
      <c r="B66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6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0</v>
      </c>
      <c r="D66" s="69">
        <f>IF(Table156789101112[[#This Row],[Category]]="","",IF(Table156789101112[[#This Row],[Category]]="M",COUNTIF($I$2:$I66,"M"),IF(Table156789101112[[#This Row],[Category]]="F",COUNTIF($I$2:$I66,"F"),0)))</f>
        <v>31</v>
      </c>
      <c r="E66" s="34">
        <v>300</v>
      </c>
      <c r="F66" s="35">
        <v>1.1840277777777778E-2</v>
      </c>
      <c r="G66" s="36" t="s">
        <v>291</v>
      </c>
      <c r="H66" s="36" t="s">
        <v>133</v>
      </c>
      <c r="I66" s="37" t="s">
        <v>156</v>
      </c>
    </row>
    <row r="67" spans="1:9" x14ac:dyDescent="0.25">
      <c r="A67" s="26" t="str">
        <f>Table156789101112[[#This Row],[Full Name]]</f>
        <v>SINGLETON, Jill</v>
      </c>
      <c r="B67" s="30" t="str">
        <f>IF(Table156789101112[[#This Row],[Full Name]]="","",IF(IFERROR(IFERROR(VLOOKUP(Table156789101112[[#This Row],[Full Name]],'Mens League'!B:B,1,FALSE),VLOOKUP(Table156789101112[[#This Row],[Full Name]],'Women''s League'!B:B,1,FALSE)),"NEEDS ADDING")="NEEDS ADDING","NEEDS ADDING","OK"))</f>
        <v>OK</v>
      </c>
      <c r="C67" s="30">
        <f>IF(Table156789101112[[#This Row],[Position]]="","",IF(Table156789101112[[#This Row],[Rank]]=1,30,IF(Table156789101112[[#This Row],[Rank]]=2,29,IF(Table156789101112[[#This Row],[Rank]]=3,28,IF(Table156789101112[[#This Row],[Rank]]=4,27,IF(Table156789101112[[#This Row],[Rank]]=5,26,IF(Table156789101112[[#This Row],[Rank]]=6,25,IF(Table156789101112[[#This Row],[Rank]]=7,24,IF(Table156789101112[[#This Row],[Rank]]=8,23,IF(Table156789101112[[#This Row],[Rank]]=9,22,IF(Table156789101112[[#This Row],[Rank]]=10,21,IF(Table156789101112[[#This Row],[Rank]]=11,20,IF(Table156789101112[[#This Row],[Rank]]=12,19,IF(Table156789101112[[#This Row],[Rank]]=13,18,IF(Table156789101112[[#This Row],[Rank]]=14,17,IF(Table156789101112[[#This Row],[Rank]]=15,16,IF(Table156789101112[[#This Row],[Rank]]=16,15,IF(Table156789101112[[#This Row],[Rank]]=17,14,IF(Table156789101112[[#This Row],[Rank]]=18,13,IF(Table156789101112[[#This Row],[Rank]]=19,12,IF(Table156789101112[[#This Row],[Rank]]=20,11,IF(Table156789101112[[#This Row],[Rank]]=21,10,IF(Table156789101112[[#This Row],[Rank]]=22,9,IF(Table156789101112[[#This Row],[Rank]]=23,8,IF(Table156789101112[[#This Row],[Rank]]=24,7,IF(Table156789101112[[#This Row],[Rank]]=25,6,IF(Table156789101112[[#This Row],[Rank]]=26,5,IF(Table156789101112[[#This Row],[Rank]]=27,4,IF(Table156789101112[[#This Row],[Rank]]=28,3,IF(Table156789101112[[#This Row],[Rank]]=29,2,IF(Table156789101112[[#This Row],[Rank]]=30,1,0)))))))))))))))))))))))))))))))</f>
        <v>0</v>
      </c>
      <c r="D67" s="69">
        <f>IF(Table156789101112[[#This Row],[Category]]="","",IF(Table156789101112[[#This Row],[Category]]="M",COUNTIF($I$2:$I67,"M"),IF(Table156789101112[[#This Row],[Category]]="F",COUNTIF($I$2:$I67,"F"),0)))</f>
        <v>32</v>
      </c>
      <c r="E67" s="34">
        <v>302</v>
      </c>
      <c r="F67" s="35">
        <v>1.1967592592592592E-2</v>
      </c>
      <c r="G67" s="36" t="s">
        <v>150</v>
      </c>
      <c r="H67" s="36" t="s">
        <v>85</v>
      </c>
      <c r="I67" s="37" t="s">
        <v>156</v>
      </c>
    </row>
  </sheetData>
  <phoneticPr fontId="11" type="noConversion"/>
  <conditionalFormatting sqref="B2:B67">
    <cfRule type="containsText" dxfId="23" priority="1" operator="containsText" text="OK">
      <formula>NOT(ISERROR(SEARCH("OK",B2)))</formula>
    </cfRule>
    <cfRule type="containsText" dxfId="22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CAB7-733C-491A-A799-6C4D4BA316A1}">
  <sheetPr>
    <tabColor rgb="FF00B0F0"/>
  </sheetPr>
  <dimension ref="A1:I48"/>
  <sheetViews>
    <sheetView topLeftCell="B1" workbookViewId="0">
      <selection activeCell="H11" sqref="H11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Table1567891314[[#This Row],[Full Name]]</f>
        <v>WIDEMAN, Oliver</v>
      </c>
      <c r="B2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30</v>
      </c>
      <c r="D2" s="7">
        <f>IF(Table1567891314[[#This Row],[Category]]="","",IF(Table1567891314[[#This Row],[Category]]="M",COUNTIF($I$2:$I2,"M"),IF(Table1567891314[[#This Row],[Category]]="F",COUNTIF($I$2:$I2,"F"),0)))</f>
        <v>1</v>
      </c>
      <c r="E2" s="34">
        <v>12</v>
      </c>
      <c r="F2" s="35">
        <v>2.5011574074074075E-2</v>
      </c>
      <c r="G2" s="36" t="s">
        <v>340</v>
      </c>
      <c r="H2" s="36" t="s">
        <v>304</v>
      </c>
      <c r="I2" s="37" t="s">
        <v>146</v>
      </c>
    </row>
    <row r="3" spans="1:9" x14ac:dyDescent="0.25">
      <c r="A3" s="26" t="str">
        <f>Table1567891314[[#This Row],[Full Name]]</f>
        <v>PLEASS, Matt</v>
      </c>
      <c r="B3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3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29</v>
      </c>
      <c r="D3" s="7">
        <f>IF(Table1567891314[[#This Row],[Category]]="","",IF(Table1567891314[[#This Row],[Category]]="M",COUNTIF($I$2:$I3,"M"),IF(Table1567891314[[#This Row],[Category]]="F",COUNTIF($I$2:$I3,"F"),0)))</f>
        <v>2</v>
      </c>
      <c r="E3" s="34">
        <v>13</v>
      </c>
      <c r="F3" s="35">
        <v>2.5185185185185185E-2</v>
      </c>
      <c r="G3" s="36" t="s">
        <v>341</v>
      </c>
      <c r="H3" s="36" t="s">
        <v>69</v>
      </c>
      <c r="I3" s="37" t="s">
        <v>146</v>
      </c>
    </row>
    <row r="4" spans="1:9" x14ac:dyDescent="0.25">
      <c r="A4" s="26" t="str">
        <f>Table1567891314[[#This Row],[Full Name]]</f>
        <v>WIDEMAN, Karl</v>
      </c>
      <c r="B4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4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28</v>
      </c>
      <c r="D4" s="7">
        <f>IF(Table1567891314[[#This Row],[Category]]="","",IF(Table1567891314[[#This Row],[Category]]="M",COUNTIF($I$2:$I4,"M"),IF(Table1567891314[[#This Row],[Category]]="F",COUNTIF($I$2:$I4,"F"),0)))</f>
        <v>3</v>
      </c>
      <c r="E4" s="34">
        <v>23</v>
      </c>
      <c r="F4" s="35">
        <v>2.6319444444444444E-2</v>
      </c>
      <c r="G4" s="36" t="s">
        <v>342</v>
      </c>
      <c r="H4" s="36" t="s">
        <v>3</v>
      </c>
      <c r="I4" s="37" t="s">
        <v>146</v>
      </c>
    </row>
    <row r="5" spans="1:9" x14ac:dyDescent="0.25">
      <c r="A5" s="26" t="str">
        <f>Table1567891314[[#This Row],[Full Name]]</f>
        <v>CHAMBERS, Alistair</v>
      </c>
      <c r="B5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5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27</v>
      </c>
      <c r="D5" s="7">
        <f>IF(Table1567891314[[#This Row],[Category]]="","",IF(Table1567891314[[#This Row],[Category]]="M",COUNTIF($I$2:$I5,"M"),IF(Table1567891314[[#This Row],[Category]]="F",COUNTIF($I$2:$I5,"F"),0)))</f>
        <v>4</v>
      </c>
      <c r="E5" s="34">
        <v>28</v>
      </c>
      <c r="F5" s="35">
        <v>2.6689814814814816E-2</v>
      </c>
      <c r="G5" s="36" t="s">
        <v>322</v>
      </c>
      <c r="H5" s="36" t="s">
        <v>68</v>
      </c>
      <c r="I5" s="37" t="s">
        <v>146</v>
      </c>
    </row>
    <row r="6" spans="1:9" ht="29.25" x14ac:dyDescent="0.25">
      <c r="A6" s="26" t="str">
        <f>Table1567891314[[#This Row],[Full Name]]</f>
        <v>BLADON-COPE, Daniel</v>
      </c>
      <c r="B6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6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26</v>
      </c>
      <c r="D6" s="7">
        <f>IF(Table1567891314[[#This Row],[Category]]="","",IF(Table1567891314[[#This Row],[Category]]="M",COUNTIF($I$2:$I6,"M"),IF(Table1567891314[[#This Row],[Category]]="F",COUNTIF($I$2:$I6,"F"),0)))</f>
        <v>5</v>
      </c>
      <c r="E6" s="34">
        <v>30</v>
      </c>
      <c r="F6" s="35">
        <v>2.6793981481481481E-2</v>
      </c>
      <c r="G6" s="36" t="s">
        <v>343</v>
      </c>
      <c r="H6" s="36" t="s">
        <v>282</v>
      </c>
      <c r="I6" s="37" t="s">
        <v>146</v>
      </c>
    </row>
    <row r="7" spans="1:9" ht="29.25" x14ac:dyDescent="0.25">
      <c r="A7" s="26" t="str">
        <f>Table1567891314[[#This Row],[Full Name]]</f>
        <v>BLADON-COPE, Jordan</v>
      </c>
      <c r="B7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7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25</v>
      </c>
      <c r="D7" s="7">
        <f>IF(Table1567891314[[#This Row],[Category]]="","",IF(Table1567891314[[#This Row],[Category]]="M",COUNTIF($I$2:$I7,"M"),IF(Table1567891314[[#This Row],[Category]]="F",COUNTIF($I$2:$I7,"F"),0)))</f>
        <v>6</v>
      </c>
      <c r="E7" s="34">
        <v>35</v>
      </c>
      <c r="F7" s="35">
        <v>2.7164351851851853E-2</v>
      </c>
      <c r="G7" s="36" t="s">
        <v>344</v>
      </c>
      <c r="H7" s="36" t="s">
        <v>283</v>
      </c>
      <c r="I7" s="37" t="s">
        <v>146</v>
      </c>
    </row>
    <row r="8" spans="1:9" x14ac:dyDescent="0.25">
      <c r="A8" s="26" t="str">
        <f>Table1567891314[[#This Row],[Full Name]]</f>
        <v>GILES, George</v>
      </c>
      <c r="B8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8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24</v>
      </c>
      <c r="D8" s="7">
        <f>IF(Table1567891314[[#This Row],[Category]]="","",IF(Table1567891314[[#This Row],[Category]]="M",COUNTIF($I$2:$I8,"M"),IF(Table1567891314[[#This Row],[Category]]="F",COUNTIF($I$2:$I8,"F"),0)))</f>
        <v>7</v>
      </c>
      <c r="E8" s="34">
        <v>36</v>
      </c>
      <c r="F8" s="35">
        <v>2.7175925925925926E-2</v>
      </c>
      <c r="G8" s="36" t="s">
        <v>344</v>
      </c>
      <c r="H8" s="36" t="s">
        <v>128</v>
      </c>
      <c r="I8" s="37" t="s">
        <v>146</v>
      </c>
    </row>
    <row r="9" spans="1:9" x14ac:dyDescent="0.25">
      <c r="A9" s="26" t="str">
        <f>Table1567891314[[#This Row],[Full Name]]</f>
        <v>WIDEMAN, Emily</v>
      </c>
      <c r="B9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9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30</v>
      </c>
      <c r="D9" s="7">
        <f>IF(Table1567891314[[#This Row],[Category]]="","",IF(Table1567891314[[#This Row],[Category]]="M",COUNTIF($I$2:$I9,"M"),IF(Table1567891314[[#This Row],[Category]]="F",COUNTIF($I$2:$I9,"F"),0)))</f>
        <v>1</v>
      </c>
      <c r="E9" s="34">
        <v>37</v>
      </c>
      <c r="F9" s="35">
        <v>2.7210648148148147E-2</v>
      </c>
      <c r="G9" s="36" t="s">
        <v>344</v>
      </c>
      <c r="H9" s="36" t="s">
        <v>38</v>
      </c>
      <c r="I9" s="37" t="s">
        <v>156</v>
      </c>
    </row>
    <row r="10" spans="1:9" x14ac:dyDescent="0.25">
      <c r="A10" s="26" t="str">
        <f>Table1567891314[[#This Row],[Full Name]]</f>
        <v>HORN, Patrick</v>
      </c>
      <c r="B10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0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23</v>
      </c>
      <c r="D10" s="7">
        <f>IF(Table1567891314[[#This Row],[Category]]="","",IF(Table1567891314[[#This Row],[Category]]="M",COUNTIF($I$2:$I10,"M"),IF(Table1567891314[[#This Row],[Category]]="F",COUNTIF($I$2:$I10,"F"),0)))</f>
        <v>8</v>
      </c>
      <c r="E10" s="34">
        <v>38</v>
      </c>
      <c r="F10" s="35">
        <v>2.7291666666666665E-2</v>
      </c>
      <c r="G10" s="36" t="s">
        <v>345</v>
      </c>
      <c r="H10" s="36" t="s">
        <v>46</v>
      </c>
      <c r="I10" s="37" t="s">
        <v>146</v>
      </c>
    </row>
    <row r="11" spans="1:9" x14ac:dyDescent="0.25">
      <c r="A11" s="26" t="str">
        <f>Table1567891314[[#This Row],[Full Name]]</f>
        <v>BROWN, Jamie</v>
      </c>
      <c r="B11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1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22</v>
      </c>
      <c r="D11" s="7">
        <f>IF(Table1567891314[[#This Row],[Category]]="","",IF(Table1567891314[[#This Row],[Category]]="M",COUNTIF($I$2:$I11,"M"),IF(Table1567891314[[#This Row],[Category]]="F",COUNTIF($I$2:$I11,"F"),0)))</f>
        <v>9</v>
      </c>
      <c r="E11" s="34">
        <v>42</v>
      </c>
      <c r="F11" s="35">
        <v>2.7858796296296295E-2</v>
      </c>
      <c r="G11" s="36" t="s">
        <v>278</v>
      </c>
      <c r="H11" s="36" t="s">
        <v>346</v>
      </c>
      <c r="I11" s="37" t="s">
        <v>146</v>
      </c>
    </row>
    <row r="12" spans="1:9" x14ac:dyDescent="0.25">
      <c r="A12" s="26" t="str">
        <f>Table1567891314[[#This Row],[Full Name]]</f>
        <v>ROWLES, Nick</v>
      </c>
      <c r="B12" s="28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2" s="28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21</v>
      </c>
      <c r="D12" s="7">
        <f>IF(Table1567891314[[#This Row],[Category]]="","",IF(Table1567891314[[#This Row],[Category]]="M",COUNTIF($I$2:$I12,"M"),IF(Table1567891314[[#This Row],[Category]]="F",COUNTIF($I$2:$I12,"F"),0)))</f>
        <v>10</v>
      </c>
      <c r="E12" s="34">
        <v>43</v>
      </c>
      <c r="F12" s="35">
        <v>2.7916666666666666E-2</v>
      </c>
      <c r="G12" s="36" t="s">
        <v>325</v>
      </c>
      <c r="H12" s="36" t="s">
        <v>37</v>
      </c>
      <c r="I12" s="37" t="s">
        <v>146</v>
      </c>
    </row>
    <row r="13" spans="1:9" x14ac:dyDescent="0.25">
      <c r="A13" s="27" t="str">
        <f>Table1567891314[[#This Row],[Full Name]]</f>
        <v>WOOD, Craig</v>
      </c>
      <c r="B13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3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20</v>
      </c>
      <c r="D13" s="7">
        <f>IF(Table1567891314[[#This Row],[Category]]="","",IF(Table1567891314[[#This Row],[Category]]="M",COUNTIF($I$2:$I13,"M"),IF(Table1567891314[[#This Row],[Category]]="F",COUNTIF($I$2:$I13,"F"),0)))</f>
        <v>11</v>
      </c>
      <c r="E13" s="38">
        <v>54</v>
      </c>
      <c r="F13" s="39">
        <v>2.8703703703703703E-2</v>
      </c>
      <c r="G13" s="40" t="s">
        <v>327</v>
      </c>
      <c r="H13" s="40" t="s">
        <v>323</v>
      </c>
      <c r="I13" s="41" t="s">
        <v>146</v>
      </c>
    </row>
    <row r="14" spans="1:9" x14ac:dyDescent="0.25">
      <c r="A14" s="27" t="str">
        <f>Table1567891314[[#This Row],[Full Name]]</f>
        <v>ALLSOP, Andrew</v>
      </c>
      <c r="B14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4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19</v>
      </c>
      <c r="D14" s="7">
        <f>IF(Table1567891314[[#This Row],[Category]]="","",IF(Table1567891314[[#This Row],[Category]]="M",COUNTIF($I$2:$I14,"M"),IF(Table1567891314[[#This Row],[Category]]="F",COUNTIF($I$2:$I14,"F"),0)))</f>
        <v>12</v>
      </c>
      <c r="E14" s="34">
        <v>65</v>
      </c>
      <c r="F14" s="35">
        <v>2.991898148148148E-2</v>
      </c>
      <c r="G14" s="36" t="s">
        <v>231</v>
      </c>
      <c r="H14" s="36" t="s">
        <v>177</v>
      </c>
      <c r="I14" s="37" t="s">
        <v>146</v>
      </c>
    </row>
    <row r="15" spans="1:9" x14ac:dyDescent="0.25">
      <c r="A15" s="27" t="str">
        <f>Table1567891314[[#This Row],[Full Name]]</f>
        <v>BOTTRILL, Andrew</v>
      </c>
      <c r="B15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5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18</v>
      </c>
      <c r="D15" s="7">
        <f>IF(Table1567891314[[#This Row],[Category]]="","",IF(Table1567891314[[#This Row],[Category]]="M",COUNTIF($I$2:$I15,"M"),IF(Table1567891314[[#This Row],[Category]]="F",COUNTIF($I$2:$I15,"F"),0)))</f>
        <v>13</v>
      </c>
      <c r="E15" s="34">
        <v>77</v>
      </c>
      <c r="F15" s="35">
        <v>3.0868055555555555E-2</v>
      </c>
      <c r="G15" s="36" t="s">
        <v>193</v>
      </c>
      <c r="H15" s="36" t="s">
        <v>30</v>
      </c>
      <c r="I15" s="37" t="s">
        <v>146</v>
      </c>
    </row>
    <row r="16" spans="1:9" x14ac:dyDescent="0.25">
      <c r="A16" s="27" t="str">
        <f>Table1567891314[[#This Row],[Full Name]]</f>
        <v>KIRK, Ian</v>
      </c>
      <c r="B16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6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17</v>
      </c>
      <c r="D16" s="7">
        <f>IF(Table1567891314[[#This Row],[Category]]="","",IF(Table1567891314[[#This Row],[Category]]="M",COUNTIF($I$2:$I16,"M"),IF(Table1567891314[[#This Row],[Category]]="F",COUNTIF($I$2:$I16,"F"),0)))</f>
        <v>14</v>
      </c>
      <c r="E16" s="34">
        <v>80</v>
      </c>
      <c r="F16" s="35">
        <v>3.1087962962962963E-2</v>
      </c>
      <c r="G16" s="36" t="s">
        <v>332</v>
      </c>
      <c r="H16" s="36" t="s">
        <v>263</v>
      </c>
      <c r="I16" s="37" t="s">
        <v>146</v>
      </c>
    </row>
    <row r="17" spans="1:9" x14ac:dyDescent="0.25">
      <c r="A17" s="27" t="str">
        <f>Table1567891314[[#This Row],[Full Name]]</f>
        <v>JOYCE, Matthew</v>
      </c>
      <c r="B17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7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16</v>
      </c>
      <c r="D17" s="7">
        <f>IF(Table1567891314[[#This Row],[Category]]="","",IF(Table1567891314[[#This Row],[Category]]="M",COUNTIF($I$2:$I17,"M"),IF(Table1567891314[[#This Row],[Category]]="F",COUNTIF($I$2:$I17,"F"),0)))</f>
        <v>15</v>
      </c>
      <c r="E17" s="34">
        <v>83</v>
      </c>
      <c r="F17" s="35">
        <v>3.1261574074074074E-2</v>
      </c>
      <c r="G17" s="36" t="s">
        <v>257</v>
      </c>
      <c r="H17" s="36" t="s">
        <v>57</v>
      </c>
      <c r="I17" s="37" t="s">
        <v>146</v>
      </c>
    </row>
    <row r="18" spans="1:9" x14ac:dyDescent="0.25">
      <c r="A18" s="27" t="str">
        <f>Table1567891314[[#This Row],[Full Name]]</f>
        <v>OSBORNE, Chris</v>
      </c>
      <c r="B18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8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15</v>
      </c>
      <c r="D18" s="7">
        <f>IF(Table1567891314[[#This Row],[Category]]="","",IF(Table1567891314[[#This Row],[Category]]="M",COUNTIF($I$2:$I18,"M"),IF(Table1567891314[[#This Row],[Category]]="F",COUNTIF($I$2:$I18,"F"),0)))</f>
        <v>16</v>
      </c>
      <c r="E18" s="34">
        <v>85</v>
      </c>
      <c r="F18" s="35">
        <v>3.1400462962962963E-2</v>
      </c>
      <c r="G18" s="36" t="s">
        <v>347</v>
      </c>
      <c r="H18" s="36" t="s">
        <v>40</v>
      </c>
      <c r="I18" s="37" t="s">
        <v>146</v>
      </c>
    </row>
    <row r="19" spans="1:9" x14ac:dyDescent="0.25">
      <c r="A19" s="27" t="str">
        <f>Table1567891314[[#This Row],[Full Name]]</f>
        <v>CAIN, James</v>
      </c>
      <c r="B19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19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14</v>
      </c>
      <c r="D19" s="7">
        <f>IF(Table1567891314[[#This Row],[Category]]="","",IF(Table1567891314[[#This Row],[Category]]="M",COUNTIF($I$2:$I19,"M"),IF(Table1567891314[[#This Row],[Category]]="F",COUNTIF($I$2:$I19,"F"),0)))</f>
        <v>17</v>
      </c>
      <c r="E19" s="34">
        <v>88</v>
      </c>
      <c r="F19" s="35">
        <v>3.1597222222222221E-2</v>
      </c>
      <c r="G19" s="36" t="s">
        <v>295</v>
      </c>
      <c r="H19" s="36" t="s">
        <v>119</v>
      </c>
      <c r="I19" s="37" t="s">
        <v>146</v>
      </c>
    </row>
    <row r="20" spans="1:9" x14ac:dyDescent="0.25">
      <c r="A20" s="27" t="str">
        <f>Table1567891314[[#This Row],[Full Name]]</f>
        <v>FLANAGAN, Mark</v>
      </c>
      <c r="B20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0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13</v>
      </c>
      <c r="D20" s="7">
        <f>IF(Table1567891314[[#This Row],[Category]]="","",IF(Table1567891314[[#This Row],[Category]]="M",COUNTIF($I$2:$I20,"M"),IF(Table1567891314[[#This Row],[Category]]="F",COUNTIF($I$2:$I20,"F"),0)))</f>
        <v>18</v>
      </c>
      <c r="E20" s="34">
        <v>91</v>
      </c>
      <c r="F20" s="35">
        <v>3.1689814814814816E-2</v>
      </c>
      <c r="G20" s="36" t="s">
        <v>348</v>
      </c>
      <c r="H20" s="36" t="s">
        <v>160</v>
      </c>
      <c r="I20" s="37" t="s">
        <v>146</v>
      </c>
    </row>
    <row r="21" spans="1:9" x14ac:dyDescent="0.25">
      <c r="A21" s="27" t="str">
        <f>Table1567891314[[#This Row],[Full Name]]</f>
        <v>LAWLESS, Sandra</v>
      </c>
      <c r="B21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1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29</v>
      </c>
      <c r="D21" s="7">
        <f>IF(Table1567891314[[#This Row],[Category]]="","",IF(Table1567891314[[#This Row],[Category]]="M",COUNTIF($I$2:$I21,"M"),IF(Table1567891314[[#This Row],[Category]]="F",COUNTIF($I$2:$I21,"F"),0)))</f>
        <v>2</v>
      </c>
      <c r="E21" s="34">
        <v>96</v>
      </c>
      <c r="F21" s="35">
        <v>3.1990740740740743E-2</v>
      </c>
      <c r="G21" s="36" t="s">
        <v>196</v>
      </c>
      <c r="H21" s="36" t="s">
        <v>66</v>
      </c>
      <c r="I21" s="37" t="s">
        <v>156</v>
      </c>
    </row>
    <row r="22" spans="1:9" x14ac:dyDescent="0.25">
      <c r="A22" s="27" t="str">
        <f>Table1567891314[[#This Row],[Full Name]]</f>
        <v>GRAVES, Laura</v>
      </c>
      <c r="B22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2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28</v>
      </c>
      <c r="D22" s="7">
        <f>IF(Table1567891314[[#This Row],[Category]]="","",IF(Table1567891314[[#This Row],[Category]]="M",COUNTIF($I$2:$I22,"M"),IF(Table1567891314[[#This Row],[Category]]="F",COUNTIF($I$2:$I22,"F"),0)))</f>
        <v>3</v>
      </c>
      <c r="E22" s="34">
        <v>120</v>
      </c>
      <c r="F22" s="35">
        <v>3.4166666666666665E-2</v>
      </c>
      <c r="G22" s="36" t="s">
        <v>289</v>
      </c>
      <c r="H22" s="36" t="s">
        <v>13</v>
      </c>
      <c r="I22" s="37" t="s">
        <v>156</v>
      </c>
    </row>
    <row r="23" spans="1:9" x14ac:dyDescent="0.25">
      <c r="A23" s="27" t="str">
        <f>Table1567891314[[#This Row],[Full Name]]</f>
        <v>TURNER, Sophie</v>
      </c>
      <c r="B23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3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27</v>
      </c>
      <c r="D23" s="7">
        <f>IF(Table1567891314[[#This Row],[Category]]="","",IF(Table1567891314[[#This Row],[Category]]="M",COUNTIF($I$2:$I23,"M"),IF(Table1567891314[[#This Row],[Category]]="F",COUNTIF($I$2:$I23,"F"),0)))</f>
        <v>4</v>
      </c>
      <c r="E23" s="34">
        <v>125</v>
      </c>
      <c r="F23" s="35">
        <v>3.4456018518518518E-2</v>
      </c>
      <c r="G23" s="36" t="s">
        <v>349</v>
      </c>
      <c r="H23" s="36" t="s">
        <v>127</v>
      </c>
      <c r="I23" s="37" t="s">
        <v>156</v>
      </c>
    </row>
    <row r="24" spans="1:9" x14ac:dyDescent="0.25">
      <c r="A24" s="27" t="str">
        <f>Table1567891314[[#This Row],[Full Name]]</f>
        <v>AVERILLO, Paul</v>
      </c>
      <c r="B24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4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12</v>
      </c>
      <c r="D24" s="7">
        <f>IF(Table1567891314[[#This Row],[Category]]="","",IF(Table1567891314[[#This Row],[Category]]="M",COUNTIF($I$2:$I24,"M"),IF(Table1567891314[[#This Row],[Category]]="F",COUNTIF($I$2:$I24,"F"),0)))</f>
        <v>19</v>
      </c>
      <c r="E24" s="34">
        <v>130</v>
      </c>
      <c r="F24" s="35">
        <v>3.4756944444444444E-2</v>
      </c>
      <c r="G24" s="36" t="s">
        <v>350</v>
      </c>
      <c r="H24" s="36" t="s">
        <v>54</v>
      </c>
      <c r="I24" s="37" t="s">
        <v>146</v>
      </c>
    </row>
    <row r="25" spans="1:9" x14ac:dyDescent="0.25">
      <c r="A25" s="27" t="str">
        <f>Table1567891314[[#This Row],[Full Name]]</f>
        <v>YEOMANS, Martin</v>
      </c>
      <c r="B25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5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11</v>
      </c>
      <c r="D25" s="7">
        <f>IF(Table1567891314[[#This Row],[Category]]="","",IF(Table1567891314[[#This Row],[Category]]="M",COUNTIF($I$2:$I25,"M"),IF(Table1567891314[[#This Row],[Category]]="F",COUNTIF($I$2:$I25,"F"),0)))</f>
        <v>20</v>
      </c>
      <c r="E25" s="34">
        <v>145</v>
      </c>
      <c r="F25" s="35">
        <v>3.5763888888888887E-2</v>
      </c>
      <c r="G25" s="36" t="s">
        <v>237</v>
      </c>
      <c r="H25" s="36" t="s">
        <v>10</v>
      </c>
      <c r="I25" s="37" t="s">
        <v>146</v>
      </c>
    </row>
    <row r="26" spans="1:9" x14ac:dyDescent="0.25">
      <c r="A26" s="27" t="str">
        <f>Table1567891314[[#This Row],[Full Name]]</f>
        <v>CODD, Sarah</v>
      </c>
      <c r="B26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6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26</v>
      </c>
      <c r="D26" s="7">
        <f>IF(Table1567891314[[#This Row],[Category]]="","",IF(Table1567891314[[#This Row],[Category]]="M",COUNTIF($I$2:$I26,"M"),IF(Table1567891314[[#This Row],[Category]]="F",COUNTIF($I$2:$I26,"F"),0)))</f>
        <v>5</v>
      </c>
      <c r="E26" s="34">
        <v>155</v>
      </c>
      <c r="F26" s="35">
        <v>3.6354166666666667E-2</v>
      </c>
      <c r="G26" s="36" t="s">
        <v>351</v>
      </c>
      <c r="H26" s="36" t="s">
        <v>137</v>
      </c>
      <c r="I26" s="37" t="s">
        <v>156</v>
      </c>
    </row>
    <row r="27" spans="1:9" x14ac:dyDescent="0.25">
      <c r="A27" s="27" t="str">
        <f>Table1567891314[[#This Row],[Full Name]]</f>
        <v>MUMMERY, Ismay</v>
      </c>
      <c r="B27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7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25</v>
      </c>
      <c r="D27" s="7">
        <f>IF(Table1567891314[[#This Row],[Category]]="","",IF(Table1567891314[[#This Row],[Category]]="M",COUNTIF($I$2:$I27,"M"),IF(Table1567891314[[#This Row],[Category]]="F",COUNTIF($I$2:$I27,"F"),0)))</f>
        <v>6</v>
      </c>
      <c r="E27" s="34">
        <v>157</v>
      </c>
      <c r="F27" s="35">
        <v>3.6388888888888887E-2</v>
      </c>
      <c r="G27" s="36" t="s">
        <v>247</v>
      </c>
      <c r="H27" s="36" t="s">
        <v>168</v>
      </c>
      <c r="I27" s="37" t="s">
        <v>156</v>
      </c>
    </row>
    <row r="28" spans="1:9" x14ac:dyDescent="0.25">
      <c r="A28" s="27" t="str">
        <f>Table1567891314[[#This Row],[Full Name]]</f>
        <v>BENNION, Nancy</v>
      </c>
      <c r="B28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8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24</v>
      </c>
      <c r="D28" s="7">
        <f>IF(Table1567891314[[#This Row],[Category]]="","",IF(Table1567891314[[#This Row],[Category]]="M",COUNTIF($I$2:$I28,"M"),IF(Table1567891314[[#This Row],[Category]]="F",COUNTIF($I$2:$I28,"F"),0)))</f>
        <v>7</v>
      </c>
      <c r="E28" s="34">
        <v>162</v>
      </c>
      <c r="F28" s="35">
        <v>3.6886574074074072E-2</v>
      </c>
      <c r="G28" s="36" t="s">
        <v>203</v>
      </c>
      <c r="H28" s="36" t="s">
        <v>50</v>
      </c>
      <c r="I28" s="37" t="s">
        <v>156</v>
      </c>
    </row>
    <row r="29" spans="1:9" x14ac:dyDescent="0.25">
      <c r="A29" s="27" t="str">
        <f>Table1567891314[[#This Row],[Full Name]]</f>
        <v>TAIT, Susan</v>
      </c>
      <c r="B29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29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23</v>
      </c>
      <c r="D29" s="7">
        <f>IF(Table1567891314[[#This Row],[Category]]="","",IF(Table1567891314[[#This Row],[Category]]="M",COUNTIF($I$2:$I29,"M"),IF(Table1567891314[[#This Row],[Category]]="F",COUNTIF($I$2:$I29,"F"),0)))</f>
        <v>8</v>
      </c>
      <c r="E29" s="34">
        <v>164</v>
      </c>
      <c r="F29" s="35">
        <v>3.6990740740740741E-2</v>
      </c>
      <c r="G29" s="36" t="s">
        <v>352</v>
      </c>
      <c r="H29" s="36" t="s">
        <v>58</v>
      </c>
      <c r="I29" s="37" t="s">
        <v>156</v>
      </c>
    </row>
    <row r="30" spans="1:9" x14ac:dyDescent="0.25">
      <c r="A30" s="27" t="str">
        <f>Table1567891314[[#This Row],[Full Name]]</f>
        <v>MALONE, Sarah</v>
      </c>
      <c r="B30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30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22</v>
      </c>
      <c r="D30" s="7">
        <f>IF(Table1567891314[[#This Row],[Category]]="","",IF(Table1567891314[[#This Row],[Category]]="M",COUNTIF($I$2:$I30,"M"),IF(Table1567891314[[#This Row],[Category]]="F",COUNTIF($I$2:$I30,"F"),0)))</f>
        <v>9</v>
      </c>
      <c r="E30" s="34">
        <v>167</v>
      </c>
      <c r="F30" s="35">
        <v>3.7581018518518521E-2</v>
      </c>
      <c r="G30" s="36" t="s">
        <v>353</v>
      </c>
      <c r="H30" s="36" t="s">
        <v>14</v>
      </c>
      <c r="I30" s="37" t="s">
        <v>156</v>
      </c>
    </row>
    <row r="31" spans="1:9" x14ac:dyDescent="0.25">
      <c r="A31" s="27" t="str">
        <f>Table1567891314[[#This Row],[Full Name]]</f>
        <v>STURLA, Tim</v>
      </c>
      <c r="B31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31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10</v>
      </c>
      <c r="D31" s="7">
        <f>IF(Table1567891314[[#This Row],[Category]]="","",IF(Table1567891314[[#This Row],[Category]]="M",COUNTIF($I$2:$I31,"M"),IF(Table1567891314[[#This Row],[Category]]="F",COUNTIF($I$2:$I31,"F"),0)))</f>
        <v>21</v>
      </c>
      <c r="E31" s="34">
        <v>170</v>
      </c>
      <c r="F31" s="35">
        <v>3.7824074074074072E-2</v>
      </c>
      <c r="G31" s="36" t="s">
        <v>150</v>
      </c>
      <c r="H31" s="36" t="s">
        <v>78</v>
      </c>
      <c r="I31" s="37" t="s">
        <v>146</v>
      </c>
    </row>
    <row r="32" spans="1:9" x14ac:dyDescent="0.25">
      <c r="A32" s="27" t="str">
        <f>Table1567891314[[#This Row],[Full Name]]</f>
        <v>HEITMANN, Laura</v>
      </c>
      <c r="B32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32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21</v>
      </c>
      <c r="D32" s="7">
        <f>IF(Table1567891314[[#This Row],[Category]]="","",IF(Table1567891314[[#This Row],[Category]]="M",COUNTIF($I$2:$I32,"M"),IF(Table1567891314[[#This Row],[Category]]="F",COUNTIF($I$2:$I32,"F"),0)))</f>
        <v>10</v>
      </c>
      <c r="E32" s="34">
        <v>173</v>
      </c>
      <c r="F32" s="35">
        <v>3.8032407407407411E-2</v>
      </c>
      <c r="G32" s="36" t="s">
        <v>354</v>
      </c>
      <c r="H32" s="36" t="s">
        <v>240</v>
      </c>
      <c r="I32" s="37" t="s">
        <v>156</v>
      </c>
    </row>
    <row r="33" spans="1:9" x14ac:dyDescent="0.25">
      <c r="A33" s="27" t="str">
        <f>Table1567891314[[#This Row],[Full Name]]</f>
        <v>ATKINSON, Matt</v>
      </c>
      <c r="B33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33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9</v>
      </c>
      <c r="D33" s="7">
        <f>IF(Table1567891314[[#This Row],[Category]]="","",IF(Table1567891314[[#This Row],[Category]]="M",COUNTIF($I$2:$I33,"M"),IF(Table1567891314[[#This Row],[Category]]="F",COUNTIF($I$2:$I33,"F"),0)))</f>
        <v>22</v>
      </c>
      <c r="E33" s="34">
        <v>181</v>
      </c>
      <c r="F33" s="35">
        <v>3.8865740740740742E-2</v>
      </c>
      <c r="G33" s="36" t="s">
        <v>355</v>
      </c>
      <c r="H33" s="36" t="s">
        <v>244</v>
      </c>
      <c r="I33" s="37" t="s">
        <v>146</v>
      </c>
    </row>
    <row r="34" spans="1:9" x14ac:dyDescent="0.25">
      <c r="A34" s="27" t="str">
        <f>Table1567891314[[#This Row],[Full Name]]</f>
        <v>BOLTON, Ellen</v>
      </c>
      <c r="B34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>OK</v>
      </c>
      <c r="C34" s="29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>20</v>
      </c>
      <c r="D34" s="7">
        <f>IF(Table1567891314[[#This Row],[Category]]="","",IF(Table1567891314[[#This Row],[Category]]="M",COUNTIF($I$2:$I34,"M"),IF(Table1567891314[[#This Row],[Category]]="F",COUNTIF($I$2:$I34,"F"),0)))</f>
        <v>11</v>
      </c>
      <c r="E34" s="34">
        <v>209</v>
      </c>
      <c r="F34" s="35">
        <v>4.4062499999999998E-2</v>
      </c>
      <c r="G34" s="36" t="s">
        <v>356</v>
      </c>
      <c r="H34" s="36" t="s">
        <v>133</v>
      </c>
      <c r="I34" s="37" t="s">
        <v>156</v>
      </c>
    </row>
    <row r="35" spans="1:9" x14ac:dyDescent="0.25">
      <c r="A35" s="27">
        <f>Table1567891314[[#This Row],[Full Name]]</f>
        <v>0</v>
      </c>
      <c r="B35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5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5" s="7" t="str">
        <f>IF(Table1567891314[[#This Row],[Category]]="","",IF(Table1567891314[[#This Row],[Category]]="M",COUNTIF($I$2:$I35,"M"),IF(Table1567891314[[#This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Table1567891314[[#This Row],[Full Name]]</f>
        <v>0</v>
      </c>
      <c r="B36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6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6" s="7" t="str">
        <f>IF(Table1567891314[[#This Row],[Category]]="","",IF(Table1567891314[[#This Row],[Category]]="M",COUNTIF($I$2:$I36,"M"),IF(Table1567891314[[#This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Table1567891314[[#This Row],[Full Name]]</f>
        <v>0</v>
      </c>
      <c r="B37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7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7" s="7" t="str">
        <f>IF(Table1567891314[[#This Row],[Category]]="","",IF(Table1567891314[[#This Row],[Category]]="M",COUNTIF($I$2:$I37,"M"),IF(Table1567891314[[#This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Table1567891314[[#This Row],[Full Name]]</f>
        <v>0</v>
      </c>
      <c r="B38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8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8" s="7" t="str">
        <f>IF(Table1567891314[[#This Row],[Category]]="","",IF(Table1567891314[[#This Row],[Category]]="M",COUNTIF($I$2:$I38,"M"),IF(Table1567891314[[#This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Table1567891314[[#This Row],[Full Name]]</f>
        <v>0</v>
      </c>
      <c r="B39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39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39" s="7" t="str">
        <f>IF(Table1567891314[[#This Row],[Category]]="","",IF(Table1567891314[[#This Row],[Category]]="M",COUNTIF($I$2:$I39,"M"),IF(Table1567891314[[#This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Table1567891314[[#This Row],[Full Name]]</f>
        <v>0</v>
      </c>
      <c r="B40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0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0" s="7" t="str">
        <f>IF(Table1567891314[[#This Row],[Category]]="","",IF(Table1567891314[[#This Row],[Category]]="M",COUNTIF($I$2:$I40,"M"),IF(Table1567891314[[#This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Table1567891314[[#This Row],[Full Name]]</f>
        <v>0</v>
      </c>
      <c r="B41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1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1" s="7" t="str">
        <f>IF(Table1567891314[[#This Row],[Category]]="","",IF(Table1567891314[[#This Row],[Category]]="M",COUNTIF($I$2:$I41,"M"),IF(Table1567891314[[#This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Table1567891314[[#This Row],[Full Name]]</f>
        <v>0</v>
      </c>
      <c r="B42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2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2" s="7" t="str">
        <f>IF(Table1567891314[[#This Row],[Category]]="","",IF(Table1567891314[[#This Row],[Category]]="M",COUNTIF($I$2:$I42,"M"),IF(Table1567891314[[#This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Table1567891314[[#This Row],[Full Name]]</f>
        <v>0</v>
      </c>
      <c r="B43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3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3" s="7" t="str">
        <f>IF(Table1567891314[[#This Row],[Category]]="","",IF(Table1567891314[[#This Row],[Category]]="M",COUNTIF($I$2:$I43,"M"),IF(Table1567891314[[#This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Table1567891314[[#This Row],[Full Name]]</f>
        <v>0</v>
      </c>
      <c r="B44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4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4" s="7" t="str">
        <f>IF(Table1567891314[[#This Row],[Category]]="","",IF(Table1567891314[[#This Row],[Category]]="M",COUNTIF($I$2:$I44,"M"),IF(Table1567891314[[#This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Table1567891314[[#This Row],[Full Name]]</f>
        <v>0</v>
      </c>
      <c r="B45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5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5" s="7" t="str">
        <f>IF(Table1567891314[[#This Row],[Category]]="","",IF(Table1567891314[[#This Row],[Category]]="M",COUNTIF($I$2:$I45,"M"),IF(Table1567891314[[#This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Table1567891314[[#This Row],[Full Name]]</f>
        <v>0</v>
      </c>
      <c r="B46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6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6" s="7" t="str">
        <f>IF(Table1567891314[[#This Row],[Category]]="","",IF(Table1567891314[[#This Row],[Category]]="M",COUNTIF($I$2:$I46,"M"),IF(Table1567891314[[#This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Table1567891314[[#This Row],[Full Name]]</f>
        <v>0</v>
      </c>
      <c r="B47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7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7" s="7" t="str">
        <f>IF(Table1567891314[[#This Row],[Category]]="","",IF(Table1567891314[[#This Row],[Category]]="M",COUNTIF($I$2:$I47,"M"),IF(Table1567891314[[#This Row],[Category]]="F",COUNTIF($I$2:$I47,"F"),0)))</f>
        <v/>
      </c>
      <c r="E47" s="34"/>
      <c r="F47" s="35"/>
      <c r="G47" s="36"/>
      <c r="H47" s="36"/>
      <c r="I47" s="37"/>
    </row>
    <row r="48" spans="1:9" x14ac:dyDescent="0.25">
      <c r="A48" s="27">
        <f>Table1567891314[[#This Row],[Full Name]]</f>
        <v>0</v>
      </c>
      <c r="B48" s="29" t="str">
        <f>IF(Table1567891314[[#This Row],[Full Name]]="","",IF(IFERROR(IFERROR(VLOOKUP(Table1567891314[[#This Row],[Full Name]],'Mens League'!B:B,1,FALSE),VLOOKUP(Table1567891314[[#This Row],[Full Name]],'Women''s League'!B:B,1,FALSE)),"NEEDS ADDING")="NEEDS ADDING","NEEDS ADDING","OK"))</f>
        <v/>
      </c>
      <c r="C48" s="29" t="str">
        <f>IF(Table1567891314[[#This Row],[Position]]="","",IF(Table1567891314[[#This Row],[Rank]]=1,30,IF(Table1567891314[[#This Row],[Rank]]=2,29,IF(Table1567891314[[#This Row],[Rank]]=3,28,IF(Table1567891314[[#This Row],[Rank]]=4,27,IF(Table1567891314[[#This Row],[Rank]]=5,26,IF(Table1567891314[[#This Row],[Rank]]=6,25,IF(Table1567891314[[#This Row],[Rank]]=7,24,IF(Table1567891314[[#This Row],[Rank]]=8,23,IF(Table1567891314[[#This Row],[Rank]]=9,22,IF(Table1567891314[[#This Row],[Rank]]=10,21,IF(Table1567891314[[#This Row],[Rank]]=11,20,IF(Table1567891314[[#This Row],[Rank]]=12,19,IF(Table1567891314[[#This Row],[Rank]]=13,18,IF(Table1567891314[[#This Row],[Rank]]=14,17,IF(Table1567891314[[#This Row],[Rank]]=15,16,IF(Table1567891314[[#This Row],[Rank]]=16,15,IF(Table1567891314[[#This Row],[Rank]]=17,14,IF(Table1567891314[[#This Row],[Rank]]=18,13,IF(Table1567891314[[#This Row],[Rank]]=19,12,IF(Table1567891314[[#This Row],[Rank]]=20,11,IF(Table1567891314[[#This Row],[Rank]]=21,10,IF(Table1567891314[[#This Row],[Rank]]=22,9,IF(Table1567891314[[#This Row],[Rank]]=23,8,IF(Table1567891314[[#This Row],[Rank]]=24,7,IF(Table1567891314[[#This Row],[Rank]]=25,6,IF(Table1567891314[[#This Row],[Rank]]=26,5,IF(Table1567891314[[#This Row],[Rank]]=27,4,IF(Table1567891314[[#This Row],[Rank]]=28,3,IF(Table1567891314[[#This Row],[Rank]]=29,2,IF(Table1567891314[[#This Row],[Rank]]=30,1,0)))))))))))))))))))))))))))))))</f>
        <v/>
      </c>
      <c r="D48" s="7" t="str">
        <f>IF(Table1567891314[[#This Row],[Category]]="","",IF(Table1567891314[[#This Row],[Category]]="M",COUNTIF($I$2:$I48,"M"),IF(Table1567891314[[#This Row],[Category]]="F",COUNTIF($I$2:$I48,"F"),0)))</f>
        <v/>
      </c>
      <c r="E48" s="34"/>
      <c r="F48" s="35"/>
      <c r="G48" s="36"/>
      <c r="H48" s="36"/>
      <c r="I48" s="37"/>
    </row>
  </sheetData>
  <phoneticPr fontId="11" type="noConversion"/>
  <conditionalFormatting sqref="B2:B48">
    <cfRule type="containsText" dxfId="21" priority="1" operator="containsText" text="OK">
      <formula>NOT(ISERROR(SEARCH("OK",B2)))</formula>
    </cfRule>
    <cfRule type="containsText" dxfId="20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610A-7938-4956-900A-847054C13BA7}">
  <sheetPr>
    <tabColor rgb="FF00B0F0"/>
  </sheetPr>
  <dimension ref="A1:I48"/>
  <sheetViews>
    <sheetView topLeftCell="B1" workbookViewId="0">
      <selection activeCell="H20" sqref="H20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Table15678913[[#This Row],[Full Name]]</f>
        <v>POTTER, Tom</v>
      </c>
      <c r="B2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2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30</v>
      </c>
      <c r="D2" s="7">
        <f>IF(Table15678913[[#This Row],[Category]]="","",IF(Table15678913[[#This Row],[Category]]="M",COUNTIF($I$2:$I2,"M"),IF(Table15678913[[#This Row],[Category]]="F",COUNTIF($I$2:$I2,"F"),0)))</f>
        <v>1</v>
      </c>
      <c r="E2" s="34">
        <v>2</v>
      </c>
      <c r="F2" s="35">
        <v>2.2743055555555555E-2</v>
      </c>
      <c r="G2" s="36" t="s">
        <v>357</v>
      </c>
      <c r="H2" s="36" t="s">
        <v>64</v>
      </c>
      <c r="I2" s="37" t="s">
        <v>146</v>
      </c>
    </row>
    <row r="3" spans="1:9" x14ac:dyDescent="0.25">
      <c r="A3" s="26" t="str">
        <f>Table15678913[[#This Row],[Full Name]]</f>
        <v>WIDEMAN, Oliver</v>
      </c>
      <c r="B3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3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29</v>
      </c>
      <c r="D3" s="7">
        <f>IF(Table15678913[[#This Row],[Category]]="","",IF(Table15678913[[#This Row],[Category]]="M",COUNTIF($I$2:$I3,"M"),IF(Table15678913[[#This Row],[Category]]="F",COUNTIF($I$2:$I3,"F"),0)))</f>
        <v>2</v>
      </c>
      <c r="E3" s="34">
        <v>14</v>
      </c>
      <c r="F3" s="35">
        <v>2.4502314814814814E-2</v>
      </c>
      <c r="G3" s="36" t="s">
        <v>358</v>
      </c>
      <c r="H3" s="36" t="s">
        <v>304</v>
      </c>
      <c r="I3" s="37" t="s">
        <v>146</v>
      </c>
    </row>
    <row r="4" spans="1:9" x14ac:dyDescent="0.25">
      <c r="A4" s="26" t="str">
        <f>Table15678913[[#This Row],[Full Name]]</f>
        <v>PARKER, Mark</v>
      </c>
      <c r="B4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4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28</v>
      </c>
      <c r="D4" s="7">
        <f>IF(Table15678913[[#This Row],[Category]]="","",IF(Table15678913[[#This Row],[Category]]="M",COUNTIF($I$2:$I4,"M"),IF(Table15678913[[#This Row],[Category]]="F",COUNTIF($I$2:$I4,"F"),0)))</f>
        <v>3</v>
      </c>
      <c r="E4" s="34">
        <v>15</v>
      </c>
      <c r="F4" s="35">
        <v>2.4525462962962964E-2</v>
      </c>
      <c r="G4" s="36" t="s">
        <v>359</v>
      </c>
      <c r="H4" s="36" t="s">
        <v>2</v>
      </c>
      <c r="I4" s="37" t="s">
        <v>146</v>
      </c>
    </row>
    <row r="5" spans="1:9" ht="29.25" x14ac:dyDescent="0.25">
      <c r="A5" s="26" t="str">
        <f>Table15678913[[#This Row],[Full Name]]</f>
        <v>BLADON-COPE, Daniel</v>
      </c>
      <c r="B5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5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27</v>
      </c>
      <c r="D5" s="7">
        <f>IF(Table15678913[[#This Row],[Category]]="","",IF(Table15678913[[#This Row],[Category]]="M",COUNTIF($I$2:$I5,"M"),IF(Table15678913[[#This Row],[Category]]="F",COUNTIF($I$2:$I5,"F"),0)))</f>
        <v>4</v>
      </c>
      <c r="E5" s="34">
        <v>27</v>
      </c>
      <c r="F5" s="35">
        <v>2.5879629629629631E-2</v>
      </c>
      <c r="G5" s="36" t="s">
        <v>360</v>
      </c>
      <c r="H5" s="36" t="s">
        <v>282</v>
      </c>
      <c r="I5" s="37" t="s">
        <v>146</v>
      </c>
    </row>
    <row r="6" spans="1:9" x14ac:dyDescent="0.25">
      <c r="A6" s="26" t="str">
        <f>Table15678913[[#This Row],[Full Name]]</f>
        <v>WIDEMAN, Karl</v>
      </c>
      <c r="B6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6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26</v>
      </c>
      <c r="D6" s="7">
        <f>IF(Table15678913[[#This Row],[Category]]="","",IF(Table15678913[[#This Row],[Category]]="M",COUNTIF($I$2:$I6,"M"),IF(Table15678913[[#This Row],[Category]]="F",COUNTIF($I$2:$I6,"F"),0)))</f>
        <v>5</v>
      </c>
      <c r="E6" s="34">
        <v>34</v>
      </c>
      <c r="F6" s="35">
        <v>2.6608796296296297E-2</v>
      </c>
      <c r="G6" s="36" t="s">
        <v>252</v>
      </c>
      <c r="H6" s="36" t="s">
        <v>3</v>
      </c>
      <c r="I6" s="37" t="s">
        <v>146</v>
      </c>
    </row>
    <row r="7" spans="1:9" x14ac:dyDescent="0.25">
      <c r="A7" s="26" t="str">
        <f>Table15678913[[#This Row],[Full Name]]</f>
        <v>WIDEMAN, Emily</v>
      </c>
      <c r="B7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7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30</v>
      </c>
      <c r="D7" s="7">
        <f>IF(Table15678913[[#This Row],[Category]]="","",IF(Table15678913[[#This Row],[Category]]="M",COUNTIF($I$2:$I7,"M"),IF(Table15678913[[#This Row],[Category]]="F",COUNTIF($I$2:$I7,"F"),0)))</f>
        <v>1</v>
      </c>
      <c r="E7" s="34">
        <v>62</v>
      </c>
      <c r="F7" s="35">
        <v>2.8101851851851854E-2</v>
      </c>
      <c r="G7" s="36" t="s">
        <v>186</v>
      </c>
      <c r="H7" s="36" t="s">
        <v>38</v>
      </c>
      <c r="I7" s="37" t="s">
        <v>156</v>
      </c>
    </row>
    <row r="8" spans="1:9" x14ac:dyDescent="0.25">
      <c r="A8" s="26" t="str">
        <f>Table15678913[[#This Row],[Full Name]]</f>
        <v>HORN, Patrick</v>
      </c>
      <c r="B8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8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25</v>
      </c>
      <c r="D8" s="7">
        <f>IF(Table15678913[[#This Row],[Category]]="","",IF(Table15678913[[#This Row],[Category]]="M",COUNTIF($I$2:$I8,"M"),IF(Table15678913[[#This Row],[Category]]="F",COUNTIF($I$2:$I8,"F"),0)))</f>
        <v>6</v>
      </c>
      <c r="E8" s="34">
        <v>64</v>
      </c>
      <c r="F8" s="35">
        <v>2.8101851851851854E-2</v>
      </c>
      <c r="G8" s="36" t="s">
        <v>186</v>
      </c>
      <c r="H8" s="36" t="s">
        <v>46</v>
      </c>
      <c r="I8" s="37" t="s">
        <v>146</v>
      </c>
    </row>
    <row r="9" spans="1:9" x14ac:dyDescent="0.25">
      <c r="A9" s="26" t="str">
        <f>Table15678913[[#This Row],[Full Name]]</f>
        <v>BROWN, Jamie</v>
      </c>
      <c r="B9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9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24</v>
      </c>
      <c r="D9" s="7">
        <f>IF(Table15678913[[#This Row],[Category]]="","",IF(Table15678913[[#This Row],[Category]]="M",COUNTIF($I$2:$I9,"M"),IF(Table15678913[[#This Row],[Category]]="F",COUNTIF($I$2:$I9,"F"),0)))</f>
        <v>7</v>
      </c>
      <c r="E9" s="34">
        <v>71</v>
      </c>
      <c r="F9" s="35">
        <v>2.8356481481481483E-2</v>
      </c>
      <c r="G9" s="36" t="s">
        <v>361</v>
      </c>
      <c r="H9" s="36" t="s">
        <v>346</v>
      </c>
      <c r="I9" s="37" t="s">
        <v>146</v>
      </c>
    </row>
    <row r="10" spans="1:9" x14ac:dyDescent="0.25">
      <c r="A10" s="26" t="str">
        <f>Table15678913[[#This Row],[Full Name]]</f>
        <v>MONAGHAN, Amelia</v>
      </c>
      <c r="B10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0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29</v>
      </c>
      <c r="D10" s="7">
        <f>IF(Table15678913[[#This Row],[Category]]="","",IF(Table15678913[[#This Row],[Category]]="M",COUNTIF($I$2:$I10,"M"),IF(Table15678913[[#This Row],[Category]]="F",COUNTIF($I$2:$I10,"F"),0)))</f>
        <v>2</v>
      </c>
      <c r="E10" s="34">
        <v>74</v>
      </c>
      <c r="F10" s="35">
        <v>2.841435185185185E-2</v>
      </c>
      <c r="G10" s="36" t="s">
        <v>362</v>
      </c>
      <c r="H10" s="36" t="s">
        <v>93</v>
      </c>
      <c r="I10" s="37" t="s">
        <v>156</v>
      </c>
    </row>
    <row r="11" spans="1:9" x14ac:dyDescent="0.25">
      <c r="A11" s="26" t="str">
        <f>Table15678913[[#This Row],[Full Name]]</f>
        <v>STANLEY, Andrew</v>
      </c>
      <c r="B11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1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23</v>
      </c>
      <c r="D11" s="7">
        <f>IF(Table15678913[[#This Row],[Category]]="","",IF(Table15678913[[#This Row],[Category]]="M",COUNTIF($I$2:$I11,"M"),IF(Table15678913[[#This Row],[Category]]="F",COUNTIF($I$2:$I11,"F"),0)))</f>
        <v>8</v>
      </c>
      <c r="E11" s="34">
        <v>87</v>
      </c>
      <c r="F11" s="35">
        <v>2.931712962962963E-2</v>
      </c>
      <c r="G11" s="36" t="s">
        <v>187</v>
      </c>
      <c r="H11" s="36" t="s">
        <v>6</v>
      </c>
      <c r="I11" s="37" t="s">
        <v>146</v>
      </c>
    </row>
    <row r="12" spans="1:9" x14ac:dyDescent="0.25">
      <c r="A12" s="26" t="str">
        <f>Table15678913[[#This Row],[Full Name]]</f>
        <v>SMITH, Georgina</v>
      </c>
      <c r="B12" s="28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2" s="28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28</v>
      </c>
      <c r="D12" s="7">
        <f>IF(Table15678913[[#This Row],[Category]]="","",IF(Table15678913[[#This Row],[Category]]="M",COUNTIF($I$2:$I12,"M"),IF(Table15678913[[#This Row],[Category]]="F",COUNTIF($I$2:$I12,"F"),0)))</f>
        <v>3</v>
      </c>
      <c r="E12" s="34">
        <v>98</v>
      </c>
      <c r="F12" s="35">
        <v>3.0081018518518517E-2</v>
      </c>
      <c r="G12" s="36" t="s">
        <v>363</v>
      </c>
      <c r="H12" s="36" t="s">
        <v>95</v>
      </c>
      <c r="I12" s="37" t="s">
        <v>156</v>
      </c>
    </row>
    <row r="13" spans="1:9" x14ac:dyDescent="0.25">
      <c r="A13" s="27" t="str">
        <f>Table15678913[[#This Row],[Full Name]]</f>
        <v>PLEASS, Matt</v>
      </c>
      <c r="B13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3" s="29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22</v>
      </c>
      <c r="D13" s="7">
        <f>IF(Table15678913[[#This Row],[Category]]="","",IF(Table15678913[[#This Row],[Category]]="M",COUNTIF($I$2:$I13,"M"),IF(Table15678913[[#This Row],[Category]]="F",COUNTIF($I$2:$I13,"F"),0)))</f>
        <v>9</v>
      </c>
      <c r="E13" s="38">
        <v>99</v>
      </c>
      <c r="F13" s="39">
        <v>3.0092592592592591E-2</v>
      </c>
      <c r="G13" s="40" t="s">
        <v>363</v>
      </c>
      <c r="H13" s="40" t="s">
        <v>69</v>
      </c>
      <c r="I13" s="41" t="s">
        <v>146</v>
      </c>
    </row>
    <row r="14" spans="1:9" x14ac:dyDescent="0.25">
      <c r="A14" s="27" t="str">
        <f>Table15678913[[#This Row],[Full Name]]</f>
        <v>BRADFORD, Mark</v>
      </c>
      <c r="B14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4" s="29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21</v>
      </c>
      <c r="D14" s="7">
        <f>IF(Table15678913[[#This Row],[Category]]="","",IF(Table15678913[[#This Row],[Category]]="M",COUNTIF($I$2:$I14,"M"),IF(Table15678913[[#This Row],[Category]]="F",COUNTIF($I$2:$I14,"F"),0)))</f>
        <v>10</v>
      </c>
      <c r="E14" s="34">
        <v>135</v>
      </c>
      <c r="F14" s="35">
        <v>3.1678240740740743E-2</v>
      </c>
      <c r="G14" s="36" t="s">
        <v>364</v>
      </c>
      <c r="H14" s="36" t="s">
        <v>7</v>
      </c>
      <c r="I14" s="37" t="s">
        <v>146</v>
      </c>
    </row>
    <row r="15" spans="1:9" x14ac:dyDescent="0.25">
      <c r="A15" s="27" t="str">
        <f>Table15678913[[#This Row],[Full Name]]</f>
        <v>SMITH, Victoria</v>
      </c>
      <c r="B15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5" s="29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27</v>
      </c>
      <c r="D15" s="7">
        <f>IF(Table15678913[[#This Row],[Category]]="","",IF(Table15678913[[#This Row],[Category]]="M",COUNTIF($I$2:$I15,"M"),IF(Table15678913[[#This Row],[Category]]="F",COUNTIF($I$2:$I15,"F"),0)))</f>
        <v>4</v>
      </c>
      <c r="E15" s="34">
        <v>146</v>
      </c>
      <c r="F15" s="35">
        <v>3.2094907407407405E-2</v>
      </c>
      <c r="G15" s="36" t="s">
        <v>365</v>
      </c>
      <c r="H15" s="36" t="s">
        <v>41</v>
      </c>
      <c r="I15" s="37" t="s">
        <v>156</v>
      </c>
    </row>
    <row r="16" spans="1:9" x14ac:dyDescent="0.25">
      <c r="A16" s="27" t="str">
        <f>Table15678913[[#This Row],[Full Name]]</f>
        <v>TURNER, Sophie</v>
      </c>
      <c r="B16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6" s="29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26</v>
      </c>
      <c r="D16" s="7">
        <f>IF(Table15678913[[#This Row],[Category]]="","",IF(Table15678913[[#This Row],[Category]]="M",COUNTIF($I$2:$I16,"M"),IF(Table15678913[[#This Row],[Category]]="F",COUNTIF($I$2:$I16,"F"),0)))</f>
        <v>5</v>
      </c>
      <c r="E16" s="34">
        <v>301</v>
      </c>
      <c r="F16" s="35">
        <v>3.8796296296296294E-2</v>
      </c>
      <c r="G16" s="36" t="s">
        <v>366</v>
      </c>
      <c r="H16" s="36" t="s">
        <v>127</v>
      </c>
      <c r="I16" s="37" t="s">
        <v>156</v>
      </c>
    </row>
    <row r="17" spans="1:9" x14ac:dyDescent="0.25">
      <c r="A17" s="27" t="str">
        <f>Table15678913[[#This Row],[Full Name]]</f>
        <v>MALONE, Sarah</v>
      </c>
      <c r="B17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7" s="29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25</v>
      </c>
      <c r="D17" s="7">
        <f>IF(Table15678913[[#This Row],[Category]]="","",IF(Table15678913[[#This Row],[Category]]="M",COUNTIF($I$2:$I17,"M"),IF(Table15678913[[#This Row],[Category]]="F",COUNTIF($I$2:$I17,"F"),0)))</f>
        <v>6</v>
      </c>
      <c r="E17" s="34">
        <v>307</v>
      </c>
      <c r="F17" s="35">
        <v>3.8935185185185184E-2</v>
      </c>
      <c r="G17" s="36" t="s">
        <v>353</v>
      </c>
      <c r="H17" s="36" t="s">
        <v>14</v>
      </c>
      <c r="I17" s="37" t="s">
        <v>156</v>
      </c>
    </row>
    <row r="18" spans="1:9" x14ac:dyDescent="0.25">
      <c r="A18" s="27" t="str">
        <f>Table15678913[[#This Row],[Full Name]]</f>
        <v>HEITMANN, Laura</v>
      </c>
      <c r="B18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8" s="29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24</v>
      </c>
      <c r="D18" s="7">
        <f>IF(Table15678913[[#This Row],[Category]]="","",IF(Table15678913[[#This Row],[Category]]="M",COUNTIF($I$2:$I18,"M"),IF(Table15678913[[#This Row],[Category]]="F",COUNTIF($I$2:$I18,"F"),0)))</f>
        <v>7</v>
      </c>
      <c r="E18" s="34">
        <v>309</v>
      </c>
      <c r="F18" s="35">
        <v>3.8946759259259257E-2</v>
      </c>
      <c r="G18" s="36" t="s">
        <v>353</v>
      </c>
      <c r="H18" s="36" t="s">
        <v>240</v>
      </c>
      <c r="I18" s="37" t="s">
        <v>156</v>
      </c>
    </row>
    <row r="19" spans="1:9" x14ac:dyDescent="0.25">
      <c r="A19" s="27" t="str">
        <f>Table15678913[[#This Row],[Full Name]]</f>
        <v>ATKINSON, Matt</v>
      </c>
      <c r="B19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>OK</v>
      </c>
      <c r="C19" s="29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>20</v>
      </c>
      <c r="D19" s="7">
        <f>IF(Table15678913[[#This Row],[Category]]="","",IF(Table15678913[[#This Row],[Category]]="M",COUNTIF($I$2:$I19,"M"),IF(Table15678913[[#This Row],[Category]]="F",COUNTIF($I$2:$I19,"F"),0)))</f>
        <v>11</v>
      </c>
      <c r="E19" s="34">
        <v>352</v>
      </c>
      <c r="F19" s="35">
        <v>4.0937500000000002E-2</v>
      </c>
      <c r="G19" s="36" t="s">
        <v>367</v>
      </c>
      <c r="H19" s="36" t="s">
        <v>244</v>
      </c>
      <c r="I19" s="37" t="s">
        <v>146</v>
      </c>
    </row>
    <row r="20" spans="1:9" x14ac:dyDescent="0.25">
      <c r="A20" s="27">
        <f>Table15678913[[#This Row],[Full Name]]</f>
        <v>0</v>
      </c>
      <c r="B20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0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0" s="7" t="str">
        <f>IF(Table15678913[[#This Row],[Category]]="","",IF(Table15678913[[#This Row],[Category]]="M",COUNTIF($I$2:$I20,"M"),IF(Table15678913[[#This Row],[Category]]="F",COUNTIF($I$2:$I20,"F"),0)))</f>
        <v/>
      </c>
      <c r="E20" s="34"/>
      <c r="F20" s="35"/>
      <c r="G20" s="36"/>
      <c r="H20" s="36"/>
      <c r="I20" s="37"/>
    </row>
    <row r="21" spans="1:9" x14ac:dyDescent="0.25">
      <c r="A21" s="27">
        <f>Table15678913[[#This Row],[Full Name]]</f>
        <v>0</v>
      </c>
      <c r="B21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1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1" s="7" t="str">
        <f>IF(Table15678913[[#This Row],[Category]]="","",IF(Table15678913[[#This Row],[Category]]="M",COUNTIF($I$2:$I21,"M"),IF(Table15678913[[#This Row],[Category]]="F",COUNTIF($I$2:$I21,"F"),0)))</f>
        <v/>
      </c>
      <c r="E21" s="34"/>
      <c r="F21" s="35"/>
      <c r="G21" s="36"/>
      <c r="H21" s="36"/>
      <c r="I21" s="37"/>
    </row>
    <row r="22" spans="1:9" x14ac:dyDescent="0.25">
      <c r="A22" s="27">
        <f>Table15678913[[#This Row],[Full Name]]</f>
        <v>0</v>
      </c>
      <c r="B22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2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2" s="7" t="str">
        <f>IF(Table15678913[[#This Row],[Category]]="","",IF(Table15678913[[#This Row],[Category]]="M",COUNTIF($I$2:$I22,"M"),IF(Table15678913[[#This Row],[Category]]="F",COUNTIF($I$2:$I22,"F"),0)))</f>
        <v/>
      </c>
      <c r="E22" s="34"/>
      <c r="F22" s="35"/>
      <c r="G22" s="36"/>
      <c r="H22" s="36"/>
      <c r="I22" s="37"/>
    </row>
    <row r="23" spans="1:9" x14ac:dyDescent="0.25">
      <c r="A23" s="27">
        <f>Table15678913[[#This Row],[Full Name]]</f>
        <v>0</v>
      </c>
      <c r="B23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3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3" s="7" t="str">
        <f>IF(Table15678913[[#This Row],[Category]]="","",IF(Table15678913[[#This Row],[Category]]="M",COUNTIF($I$2:$I23,"M"),IF(Table15678913[[#This Row],[Category]]="F",COUNTIF($I$2:$I23,"F"),0)))</f>
        <v/>
      </c>
      <c r="E23" s="34"/>
      <c r="F23" s="35"/>
      <c r="G23" s="36"/>
      <c r="H23" s="36"/>
      <c r="I23" s="37"/>
    </row>
    <row r="24" spans="1:9" x14ac:dyDescent="0.25">
      <c r="A24" s="27">
        <f>Table15678913[[#This Row],[Full Name]]</f>
        <v>0</v>
      </c>
      <c r="B24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4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4" s="7" t="str">
        <f>IF(Table15678913[[#This Row],[Category]]="","",IF(Table15678913[[#This Row],[Category]]="M",COUNTIF($I$2:$I24,"M"),IF(Table15678913[[#This Row],[Category]]="F",COUNTIF($I$2:$I24,"F"),0)))</f>
        <v/>
      </c>
      <c r="E24" s="34"/>
      <c r="F24" s="35"/>
      <c r="G24" s="36"/>
      <c r="H24" s="36"/>
      <c r="I24" s="37"/>
    </row>
    <row r="25" spans="1:9" x14ac:dyDescent="0.25">
      <c r="A25" s="27">
        <f>Table15678913[[#This Row],[Full Name]]</f>
        <v>0</v>
      </c>
      <c r="B25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5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5" s="7" t="str">
        <f>IF(Table15678913[[#This Row],[Category]]="","",IF(Table15678913[[#This Row],[Category]]="M",COUNTIF($I$2:$I25,"M"),IF(Table15678913[[#This Row],[Category]]="F",COUNTIF($I$2:$I25,"F"),0)))</f>
        <v/>
      </c>
      <c r="E25" s="34"/>
      <c r="F25" s="35"/>
      <c r="G25" s="36"/>
      <c r="H25" s="36"/>
      <c r="I25" s="37"/>
    </row>
    <row r="26" spans="1:9" x14ac:dyDescent="0.25">
      <c r="A26" s="27">
        <f>Table15678913[[#This Row],[Full Name]]</f>
        <v>0</v>
      </c>
      <c r="B26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6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6" s="7" t="str">
        <f>IF(Table15678913[[#This Row],[Category]]="","",IF(Table15678913[[#This Row],[Category]]="M",COUNTIF($I$2:$I26,"M"),IF(Table15678913[[#This Row],[Category]]="F",COUNTIF($I$2:$I26,"F"),0)))</f>
        <v/>
      </c>
      <c r="E26" s="34"/>
      <c r="F26" s="35"/>
      <c r="G26" s="36"/>
      <c r="H26" s="36"/>
      <c r="I26" s="37"/>
    </row>
    <row r="27" spans="1:9" x14ac:dyDescent="0.25">
      <c r="A27" s="27">
        <f>Table15678913[[#This Row],[Full Name]]</f>
        <v>0</v>
      </c>
      <c r="B27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7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7" s="7" t="str">
        <f>IF(Table15678913[[#This Row],[Category]]="","",IF(Table15678913[[#This Row],[Category]]="M",COUNTIF($I$2:$I27,"M"),IF(Table15678913[[#This Row],[Category]]="F",COUNTIF($I$2:$I27,"F"),0)))</f>
        <v/>
      </c>
      <c r="E27" s="34"/>
      <c r="F27" s="35"/>
      <c r="G27" s="36"/>
      <c r="H27" s="36"/>
      <c r="I27" s="37"/>
    </row>
    <row r="28" spans="1:9" x14ac:dyDescent="0.25">
      <c r="A28" s="27">
        <f>Table15678913[[#This Row],[Full Name]]</f>
        <v>0</v>
      </c>
      <c r="B28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8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8" s="7" t="str">
        <f>IF(Table15678913[[#This Row],[Category]]="","",IF(Table15678913[[#This Row],[Category]]="M",COUNTIF($I$2:$I28,"M"),IF(Table15678913[[#This Row],[Category]]="F",COUNTIF($I$2:$I28,"F"),0)))</f>
        <v/>
      </c>
      <c r="E28" s="34"/>
      <c r="F28" s="35"/>
      <c r="G28" s="36"/>
      <c r="H28" s="36"/>
      <c r="I28" s="37"/>
    </row>
    <row r="29" spans="1:9" x14ac:dyDescent="0.25">
      <c r="A29" s="27">
        <f>Table15678913[[#This Row],[Full Name]]</f>
        <v>0</v>
      </c>
      <c r="B29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29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29" s="7" t="str">
        <f>IF(Table15678913[[#This Row],[Category]]="","",IF(Table15678913[[#This Row],[Category]]="M",COUNTIF($I$2:$I29,"M"),IF(Table15678913[[#This Row],[Category]]="F",COUNTIF($I$2:$I29,"F"),0)))</f>
        <v/>
      </c>
      <c r="E29" s="34"/>
      <c r="F29" s="35"/>
      <c r="G29" s="36"/>
      <c r="H29" s="36"/>
      <c r="I29" s="37"/>
    </row>
    <row r="30" spans="1:9" x14ac:dyDescent="0.25">
      <c r="A30" s="27">
        <f>Table15678913[[#This Row],[Full Name]]</f>
        <v>0</v>
      </c>
      <c r="B30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0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0" s="7" t="str">
        <f>IF(Table15678913[[#This Row],[Category]]="","",IF(Table15678913[[#This Row],[Category]]="M",COUNTIF($I$2:$I30,"M"),IF(Table15678913[[#This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Table15678913[[#This Row],[Full Name]]</f>
        <v>0</v>
      </c>
      <c r="B31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1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1" s="7" t="str">
        <f>IF(Table15678913[[#This Row],[Category]]="","",IF(Table15678913[[#This Row],[Category]]="M",COUNTIF($I$2:$I31,"M"),IF(Table15678913[[#This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Table15678913[[#This Row],[Full Name]]</f>
        <v>0</v>
      </c>
      <c r="B32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2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2" s="7" t="str">
        <f>IF(Table15678913[[#This Row],[Category]]="","",IF(Table15678913[[#This Row],[Category]]="M",COUNTIF($I$2:$I32,"M"),IF(Table15678913[[#This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Table15678913[[#This Row],[Full Name]]</f>
        <v>0</v>
      </c>
      <c r="B33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3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3" s="7" t="str">
        <f>IF(Table15678913[[#This Row],[Category]]="","",IF(Table15678913[[#This Row],[Category]]="M",COUNTIF($I$2:$I33,"M"),IF(Table15678913[[#This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Table15678913[[#This Row],[Full Name]]</f>
        <v>0</v>
      </c>
      <c r="B34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4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4" s="7" t="str">
        <f>IF(Table15678913[[#This Row],[Category]]="","",IF(Table15678913[[#This Row],[Category]]="M",COUNTIF($I$2:$I34,"M"),IF(Table15678913[[#This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Table15678913[[#This Row],[Full Name]]</f>
        <v>0</v>
      </c>
      <c r="B35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5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5" s="7" t="str">
        <f>IF(Table15678913[[#This Row],[Category]]="","",IF(Table15678913[[#This Row],[Category]]="M",COUNTIF($I$2:$I35,"M"),IF(Table15678913[[#This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Table15678913[[#This Row],[Full Name]]</f>
        <v>0</v>
      </c>
      <c r="B36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6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6" s="7" t="str">
        <f>IF(Table15678913[[#This Row],[Category]]="","",IF(Table15678913[[#This Row],[Category]]="M",COUNTIF($I$2:$I36,"M"),IF(Table15678913[[#This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Table15678913[[#This Row],[Full Name]]</f>
        <v>0</v>
      </c>
      <c r="B37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7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7" s="7" t="str">
        <f>IF(Table15678913[[#This Row],[Category]]="","",IF(Table15678913[[#This Row],[Category]]="M",COUNTIF($I$2:$I37,"M"),IF(Table15678913[[#This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Table15678913[[#This Row],[Full Name]]</f>
        <v>0</v>
      </c>
      <c r="B38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8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8" s="7" t="str">
        <f>IF(Table15678913[[#This Row],[Category]]="","",IF(Table15678913[[#This Row],[Category]]="M",COUNTIF($I$2:$I38,"M"),IF(Table15678913[[#This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Table15678913[[#This Row],[Full Name]]</f>
        <v>0</v>
      </c>
      <c r="B39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39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39" s="7" t="str">
        <f>IF(Table15678913[[#This Row],[Category]]="","",IF(Table15678913[[#This Row],[Category]]="M",COUNTIF($I$2:$I39,"M"),IF(Table15678913[[#This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Table15678913[[#This Row],[Full Name]]</f>
        <v>0</v>
      </c>
      <c r="B40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0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0" s="7" t="str">
        <f>IF(Table15678913[[#This Row],[Category]]="","",IF(Table15678913[[#This Row],[Category]]="M",COUNTIF($I$2:$I40,"M"),IF(Table15678913[[#This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Table15678913[[#This Row],[Full Name]]</f>
        <v>0</v>
      </c>
      <c r="B41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1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1" s="7" t="str">
        <f>IF(Table15678913[[#This Row],[Category]]="","",IF(Table15678913[[#This Row],[Category]]="M",COUNTIF($I$2:$I41,"M"),IF(Table15678913[[#This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Table15678913[[#This Row],[Full Name]]</f>
        <v>0</v>
      </c>
      <c r="B42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2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2" s="7" t="str">
        <f>IF(Table15678913[[#This Row],[Category]]="","",IF(Table15678913[[#This Row],[Category]]="M",COUNTIF($I$2:$I42,"M"),IF(Table15678913[[#This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Table15678913[[#This Row],[Full Name]]</f>
        <v>0</v>
      </c>
      <c r="B43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3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3" s="7" t="str">
        <f>IF(Table15678913[[#This Row],[Category]]="","",IF(Table15678913[[#This Row],[Category]]="M",COUNTIF($I$2:$I43,"M"),IF(Table15678913[[#This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Table15678913[[#This Row],[Full Name]]</f>
        <v>0</v>
      </c>
      <c r="B44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4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4" s="7" t="str">
        <f>IF(Table15678913[[#This Row],[Category]]="","",IF(Table15678913[[#This Row],[Category]]="M",COUNTIF($I$2:$I44,"M"),IF(Table15678913[[#This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Table15678913[[#This Row],[Full Name]]</f>
        <v>0</v>
      </c>
      <c r="B45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5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5" s="7" t="str">
        <f>IF(Table15678913[[#This Row],[Category]]="","",IF(Table15678913[[#This Row],[Category]]="M",COUNTIF($I$2:$I45,"M"),IF(Table15678913[[#This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Table15678913[[#This Row],[Full Name]]</f>
        <v>0</v>
      </c>
      <c r="B46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6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6" s="7" t="str">
        <f>IF(Table15678913[[#This Row],[Category]]="","",IF(Table15678913[[#This Row],[Category]]="M",COUNTIF($I$2:$I46,"M"),IF(Table15678913[[#This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Table15678913[[#This Row],[Full Name]]</f>
        <v>0</v>
      </c>
      <c r="B47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7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7" s="7" t="str">
        <f>IF(Table15678913[[#This Row],[Category]]="","",IF(Table15678913[[#This Row],[Category]]="M",COUNTIF($I$2:$I47,"M"),IF(Table15678913[[#This Row],[Category]]="F",COUNTIF($I$2:$I47,"F"),0)))</f>
        <v/>
      </c>
      <c r="E47" s="34"/>
      <c r="F47" s="35"/>
      <c r="G47" s="36"/>
      <c r="H47" s="36"/>
      <c r="I47" s="37"/>
    </row>
    <row r="48" spans="1:9" x14ac:dyDescent="0.25">
      <c r="A48" s="27">
        <f>Table15678913[[#This Row],[Full Name]]</f>
        <v>0</v>
      </c>
      <c r="B48" s="29" t="str">
        <f>IF(Table15678913[[#This Row],[Full Name]]="","",IF(IFERROR(IFERROR(VLOOKUP(Table15678913[[#This Row],[Full Name]],'Mens League'!B:B,1,FALSE),VLOOKUP(Table15678913[[#This Row],[Full Name]],'Women''s League'!B:B,1,FALSE)),"NEEDS ADDING")="NEEDS ADDING","NEEDS ADDING","OK"))</f>
        <v/>
      </c>
      <c r="C48" s="29" t="str">
        <f>IF(Table15678913[[#This Row],[Position]]="","",IF(Table15678913[[#This Row],[Rank]]=1,30,IF(Table15678913[[#This Row],[Rank]]=2,29,IF(Table15678913[[#This Row],[Rank]]=3,28,IF(Table15678913[[#This Row],[Rank]]=4,27,IF(Table15678913[[#This Row],[Rank]]=5,26,IF(Table15678913[[#This Row],[Rank]]=6,25,IF(Table15678913[[#This Row],[Rank]]=7,24,IF(Table15678913[[#This Row],[Rank]]=8,23,IF(Table15678913[[#This Row],[Rank]]=9,22,IF(Table15678913[[#This Row],[Rank]]=10,21,IF(Table15678913[[#This Row],[Rank]]=11,20,IF(Table15678913[[#This Row],[Rank]]=12,19,IF(Table15678913[[#This Row],[Rank]]=13,18,IF(Table15678913[[#This Row],[Rank]]=14,17,IF(Table15678913[[#This Row],[Rank]]=15,16,IF(Table15678913[[#This Row],[Rank]]=16,15,IF(Table15678913[[#This Row],[Rank]]=17,14,IF(Table15678913[[#This Row],[Rank]]=18,13,IF(Table15678913[[#This Row],[Rank]]=19,12,IF(Table15678913[[#This Row],[Rank]]=20,11,IF(Table15678913[[#This Row],[Rank]]=21,10,IF(Table15678913[[#This Row],[Rank]]=22,9,IF(Table15678913[[#This Row],[Rank]]=23,8,IF(Table15678913[[#This Row],[Rank]]=24,7,IF(Table15678913[[#This Row],[Rank]]=25,6,IF(Table15678913[[#This Row],[Rank]]=26,5,IF(Table15678913[[#This Row],[Rank]]=27,4,IF(Table15678913[[#This Row],[Rank]]=28,3,IF(Table15678913[[#This Row],[Rank]]=29,2,IF(Table15678913[[#This Row],[Rank]]=30,1,0)))))))))))))))))))))))))))))))</f>
        <v/>
      </c>
      <c r="D48" s="7" t="str">
        <f>IF(Table15678913[[#This Row],[Category]]="","",IF(Table15678913[[#This Row],[Category]]="M",COUNTIF($I$2:$I48,"M"),IF(Table15678913[[#This Row],[Category]]="F",COUNTIF($I$2:$I48,"F"),0)))</f>
        <v/>
      </c>
      <c r="E48" s="34"/>
      <c r="F48" s="35"/>
      <c r="G48" s="36"/>
      <c r="H48" s="36"/>
      <c r="I48" s="37"/>
    </row>
  </sheetData>
  <phoneticPr fontId="11" type="noConversion"/>
  <conditionalFormatting sqref="B2:B48">
    <cfRule type="containsText" dxfId="19" priority="1" operator="containsText" text="OK">
      <formula>NOT(ISERROR(SEARCH("OK",B2)))</formula>
    </cfRule>
    <cfRule type="containsText" dxfId="18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F1A3-13F0-46EE-A6B0-84545EDC3127}">
  <sheetPr>
    <tabColor rgb="FF00B0F0"/>
  </sheetPr>
  <dimension ref="A1:I47"/>
  <sheetViews>
    <sheetView topLeftCell="B1" workbookViewId="0">
      <selection activeCell="L10" sqref="L10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Table1515[[#This Row],[Full Name]]</f>
        <v>PARKER, Mark</v>
      </c>
      <c r="B2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2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30</v>
      </c>
      <c r="D2" s="7">
        <f>IF(Table1515[[#This Row],[Category]]="","",IF(Table1515[[#This Row],[Category]]="M",COUNTIF($I$2:$I2,"M"),IF(Table1515[[#This Row],[Category]]="F",COUNTIF($I$2:$I2,"F"),0)))</f>
        <v>1</v>
      </c>
      <c r="E2" s="34">
        <v>23</v>
      </c>
      <c r="F2" s="35">
        <v>1.9293981481481481E-2</v>
      </c>
      <c r="G2" s="36" t="s">
        <v>368</v>
      </c>
      <c r="H2" s="36" t="s">
        <v>2</v>
      </c>
      <c r="I2" s="37" t="s">
        <v>146</v>
      </c>
    </row>
    <row r="3" spans="1:9" x14ac:dyDescent="0.25">
      <c r="A3" s="26" t="str">
        <f>Table1515[[#This Row],[Full Name]]</f>
        <v>PLEASS, Matt</v>
      </c>
      <c r="B3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3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29</v>
      </c>
      <c r="D3" s="7">
        <f>IF(Table1515[[#This Row],[Category]]="","",IF(Table1515[[#This Row],[Category]]="M",COUNTIF($I$2:$I3,"M"),IF(Table1515[[#This Row],[Category]]="F",COUNTIF($I$2:$I3,"F"),0)))</f>
        <v>2</v>
      </c>
      <c r="E3" s="34">
        <v>33</v>
      </c>
      <c r="F3" s="35">
        <v>1.9861111111111111E-2</v>
      </c>
      <c r="G3" s="36" t="s">
        <v>369</v>
      </c>
      <c r="H3" s="36" t="s">
        <v>69</v>
      </c>
      <c r="I3" s="37" t="s">
        <v>146</v>
      </c>
    </row>
    <row r="4" spans="1:9" x14ac:dyDescent="0.25">
      <c r="A4" s="26" t="str">
        <f>Table1515[[#This Row],[Full Name]]</f>
        <v>BOLTON, Ian</v>
      </c>
      <c r="B4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4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28</v>
      </c>
      <c r="D4" s="7">
        <f>IF(Table1515[[#This Row],[Category]]="","",IF(Table1515[[#This Row],[Category]]="M",COUNTIF($I$2:$I4,"M"),IF(Table1515[[#This Row],[Category]]="F",COUNTIF($I$2:$I4,"F"),0)))</f>
        <v>3</v>
      </c>
      <c r="E4" s="34">
        <v>107</v>
      </c>
      <c r="F4" s="35">
        <v>2.2256944444444444E-2</v>
      </c>
      <c r="G4" s="36" t="s">
        <v>322</v>
      </c>
      <c r="H4" s="36" t="s">
        <v>5</v>
      </c>
      <c r="I4" s="37" t="s">
        <v>146</v>
      </c>
    </row>
    <row r="5" spans="1:9" x14ac:dyDescent="0.25">
      <c r="A5" s="26" t="str">
        <f>Table1515[[#This Row],[Full Name]]</f>
        <v>GILES, George</v>
      </c>
      <c r="B5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5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27</v>
      </c>
      <c r="D5" s="7">
        <f>IF(Table1515[[#This Row],[Category]]="","",IF(Table1515[[#This Row],[Category]]="M",COUNTIF($I$2:$I5,"M"),IF(Table1515[[#This Row],[Category]]="F",COUNTIF($I$2:$I5,"F"),0)))</f>
        <v>4</v>
      </c>
      <c r="E5" s="34">
        <v>113</v>
      </c>
      <c r="F5" s="35">
        <v>2.2430555555555554E-2</v>
      </c>
      <c r="G5" s="36" t="s">
        <v>226</v>
      </c>
      <c r="H5" s="36" t="s">
        <v>128</v>
      </c>
      <c r="I5" s="37" t="s">
        <v>146</v>
      </c>
    </row>
    <row r="6" spans="1:9" x14ac:dyDescent="0.25">
      <c r="A6" s="26" t="str">
        <f>Table1515[[#This Row],[Full Name]]</f>
        <v>MARTIN, Richard</v>
      </c>
      <c r="B6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6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26</v>
      </c>
      <c r="D6" s="7">
        <f>IF(Table1515[[#This Row],[Category]]="","",IF(Table1515[[#This Row],[Category]]="M",COUNTIF($I$2:$I6,"M"),IF(Table1515[[#This Row],[Category]]="F",COUNTIF($I$2:$I6,"F"),0)))</f>
        <v>5</v>
      </c>
      <c r="E6" s="34">
        <v>137</v>
      </c>
      <c r="F6" s="35">
        <v>2.2870370370370371E-2</v>
      </c>
      <c r="G6" s="36" t="s">
        <v>362</v>
      </c>
      <c r="H6" s="36" t="s">
        <v>72</v>
      </c>
      <c r="I6" s="37" t="s">
        <v>146</v>
      </c>
    </row>
    <row r="7" spans="1:9" x14ac:dyDescent="0.25">
      <c r="A7" s="26" t="str">
        <f>Table1515[[#This Row],[Full Name]]</f>
        <v>PARKER, Emily</v>
      </c>
      <c r="B7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7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30</v>
      </c>
      <c r="D7" s="7">
        <f>IF(Table1515[[#This Row],[Category]]="","",IF(Table1515[[#This Row],[Category]]="M",COUNTIF($I$2:$I7,"M"),IF(Table1515[[#This Row],[Category]]="F",COUNTIF($I$2:$I7,"F"),0)))</f>
        <v>1</v>
      </c>
      <c r="E7" s="34">
        <v>171</v>
      </c>
      <c r="F7" s="35">
        <v>2.3506944444444445E-2</v>
      </c>
      <c r="G7" s="36" t="s">
        <v>211</v>
      </c>
      <c r="H7" s="36" t="s">
        <v>256</v>
      </c>
      <c r="I7" s="37" t="s">
        <v>156</v>
      </c>
    </row>
    <row r="8" spans="1:9" x14ac:dyDescent="0.25">
      <c r="A8" s="26" t="str">
        <f>Table1515[[#This Row],[Full Name]]</f>
        <v>BLAND, Damon</v>
      </c>
      <c r="B8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8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25</v>
      </c>
      <c r="D8" s="7">
        <f>IF(Table1515[[#This Row],[Category]]="","",IF(Table1515[[#This Row],[Category]]="M",COUNTIF($I$2:$I8,"M"),IF(Table1515[[#This Row],[Category]]="F",COUNTIF($I$2:$I8,"F"),0)))</f>
        <v>6</v>
      </c>
      <c r="E8" s="34">
        <v>208</v>
      </c>
      <c r="F8" s="35">
        <v>2.4282407407407409E-2</v>
      </c>
      <c r="G8" s="36" t="s">
        <v>370</v>
      </c>
      <c r="H8" s="36" t="s">
        <v>9</v>
      </c>
      <c r="I8" s="37" t="s">
        <v>146</v>
      </c>
    </row>
    <row r="9" spans="1:9" x14ac:dyDescent="0.25">
      <c r="A9" s="26" t="str">
        <f>Table1515[[#This Row],[Full Name]]</f>
        <v>BRADFORD, Mark</v>
      </c>
      <c r="B9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9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24</v>
      </c>
      <c r="D9" s="7">
        <f>IF(Table1515[[#This Row],[Category]]="","",IF(Table1515[[#This Row],[Category]]="M",COUNTIF($I$2:$I9,"M"),IF(Table1515[[#This Row],[Category]]="F",COUNTIF($I$2:$I9,"F"),0)))</f>
        <v>7</v>
      </c>
      <c r="E9" s="34">
        <v>284</v>
      </c>
      <c r="F9" s="35">
        <v>2.5798611111111112E-2</v>
      </c>
      <c r="G9" s="36" t="s">
        <v>194</v>
      </c>
      <c r="H9" s="36" t="s">
        <v>7</v>
      </c>
      <c r="I9" s="37" t="s">
        <v>146</v>
      </c>
    </row>
    <row r="10" spans="1:9" x14ac:dyDescent="0.25">
      <c r="A10" s="26" t="str">
        <f>Table1515[[#This Row],[Full Name]]</f>
        <v>SMITH, Victoria</v>
      </c>
      <c r="B10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10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29</v>
      </c>
      <c r="D10" s="7">
        <f>IF(Table1515[[#This Row],[Category]]="","",IF(Table1515[[#This Row],[Category]]="M",COUNTIF($I$2:$I10,"M"),IF(Table1515[[#This Row],[Category]]="F",COUNTIF($I$2:$I10,"F"),0)))</f>
        <v>2</v>
      </c>
      <c r="E10" s="34">
        <v>297</v>
      </c>
      <c r="F10" s="35">
        <v>2.5740740740740741E-2</v>
      </c>
      <c r="G10" s="36" t="s">
        <v>193</v>
      </c>
      <c r="H10" s="36" t="s">
        <v>41</v>
      </c>
      <c r="I10" s="37" t="s">
        <v>156</v>
      </c>
    </row>
    <row r="11" spans="1:9" x14ac:dyDescent="0.25">
      <c r="A11" s="26" t="str">
        <f>Table1515[[#This Row],[Full Name]]</f>
        <v>ASHTON, Mindy</v>
      </c>
      <c r="B11" s="28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11" s="28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28</v>
      </c>
      <c r="D11" s="7">
        <f>IF(Table1515[[#This Row],[Category]]="","",IF(Table1515[[#This Row],[Category]]="M",COUNTIF($I$2:$I11,"M"),IF(Table1515[[#This Row],[Category]]="F",COUNTIF($I$2:$I11,"F"),0)))</f>
        <v>3</v>
      </c>
      <c r="E11" s="34">
        <v>305</v>
      </c>
      <c r="F11" s="35">
        <v>2.5833333333333333E-2</v>
      </c>
      <c r="G11" s="36" t="s">
        <v>365</v>
      </c>
      <c r="H11" s="36" t="s">
        <v>52</v>
      </c>
      <c r="I11" s="37" t="s">
        <v>156</v>
      </c>
    </row>
    <row r="12" spans="1:9" x14ac:dyDescent="0.25">
      <c r="A12" s="27" t="str">
        <f>Table1515[[#This Row],[Full Name]]</f>
        <v>OSBORNE, Carolyn</v>
      </c>
      <c r="B12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12" s="29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27</v>
      </c>
      <c r="D12" s="7">
        <f>IF(Table1515[[#This Row],[Category]]="","",IF(Table1515[[#This Row],[Category]]="M",COUNTIF($I$2:$I12,"M"),IF(Table1515[[#This Row],[Category]]="F",COUNTIF($I$2:$I12,"F"),0)))</f>
        <v>4</v>
      </c>
      <c r="E12" s="38">
        <v>401</v>
      </c>
      <c r="F12" s="39">
        <v>2.7858796296296295E-2</v>
      </c>
      <c r="G12" s="40" t="s">
        <v>371</v>
      </c>
      <c r="H12" s="40" t="s">
        <v>12</v>
      </c>
      <c r="I12" s="41" t="s">
        <v>156</v>
      </c>
    </row>
    <row r="13" spans="1:9" x14ac:dyDescent="0.25">
      <c r="A13" s="27" t="str">
        <f>Table1515[[#This Row],[Full Name]]</f>
        <v>ARCHER, Abby</v>
      </c>
      <c r="B13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13" s="29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26</v>
      </c>
      <c r="D13" s="7">
        <f>IF(Table1515[[#This Row],[Category]]="","",IF(Table1515[[#This Row],[Category]]="M",COUNTIF($I$2:$I13,"M"),IF(Table1515[[#This Row],[Category]]="F",COUNTIF($I$2:$I13,"F"),0)))</f>
        <v>5</v>
      </c>
      <c r="E13" s="34">
        <v>468</v>
      </c>
      <c r="F13" s="35">
        <v>2.9224537037037038E-2</v>
      </c>
      <c r="G13" s="36" t="s">
        <v>219</v>
      </c>
      <c r="H13" s="36" t="s">
        <v>130</v>
      </c>
      <c r="I13" s="37" t="s">
        <v>156</v>
      </c>
    </row>
    <row r="14" spans="1:9" x14ac:dyDescent="0.25">
      <c r="A14" s="27" t="str">
        <f>Table1515[[#This Row],[Full Name]]</f>
        <v>MUMMERY, Ismay</v>
      </c>
      <c r="B14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14" s="29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25</v>
      </c>
      <c r="D14" s="7">
        <f>IF(Table1515[[#This Row],[Category]]="","",IF(Table1515[[#This Row],[Category]]="M",COUNTIF($I$2:$I14,"M"),IF(Table1515[[#This Row],[Category]]="F",COUNTIF($I$2:$I14,"F"),0)))</f>
        <v>6</v>
      </c>
      <c r="E14" s="34">
        <v>474</v>
      </c>
      <c r="F14" s="35">
        <v>2.929398148148148E-2</v>
      </c>
      <c r="G14" s="36" t="s">
        <v>173</v>
      </c>
      <c r="H14" s="36" t="s">
        <v>168</v>
      </c>
      <c r="I14" s="37" t="s">
        <v>156</v>
      </c>
    </row>
    <row r="15" spans="1:9" x14ac:dyDescent="0.25">
      <c r="A15" s="27" t="str">
        <f>Table1515[[#This Row],[Full Name]]</f>
        <v>BOLTON, Ellen</v>
      </c>
      <c r="B15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15" s="29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24</v>
      </c>
      <c r="D15" s="7">
        <f>IF(Table1515[[#This Row],[Category]]="","",IF(Table1515[[#This Row],[Category]]="M",COUNTIF($I$2:$I15,"M"),IF(Table1515[[#This Row],[Category]]="F",COUNTIF($I$2:$I15,"F"),0)))</f>
        <v>7</v>
      </c>
      <c r="E15" s="34">
        <v>647</v>
      </c>
      <c r="F15" s="35">
        <v>3.6157407407407409E-2</v>
      </c>
      <c r="G15" s="36" t="s">
        <v>372</v>
      </c>
      <c r="H15" s="36" t="s">
        <v>133</v>
      </c>
      <c r="I15" s="37" t="s">
        <v>156</v>
      </c>
    </row>
    <row r="16" spans="1:9" x14ac:dyDescent="0.25">
      <c r="A16" s="27" t="str">
        <f>Table1515[[#This Row],[Full Name]]</f>
        <v>HENFREY, Julie</v>
      </c>
      <c r="B16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>OK</v>
      </c>
      <c r="C16" s="29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>23</v>
      </c>
      <c r="D16" s="7">
        <f>IF(Table1515[[#This Row],[Category]]="","",IF(Table1515[[#This Row],[Category]]="M",COUNTIF($I$2:$I16,"M"),IF(Table1515[[#This Row],[Category]]="F",COUNTIF($I$2:$I16,"F"),0)))</f>
        <v>8</v>
      </c>
      <c r="E16" s="34">
        <v>707</v>
      </c>
      <c r="F16" s="35">
        <v>5.0590277777777776E-2</v>
      </c>
      <c r="G16" s="36" t="s">
        <v>373</v>
      </c>
      <c r="H16" s="36" t="s">
        <v>16</v>
      </c>
      <c r="I16" s="37" t="s">
        <v>156</v>
      </c>
    </row>
    <row r="17" spans="1:9" x14ac:dyDescent="0.25">
      <c r="A17" s="27">
        <f>Table1515[[#This Row],[Full Name]]</f>
        <v>0</v>
      </c>
      <c r="B17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7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7" s="7" t="str">
        <f>IF(Table1515[[#This Row],[Category]]="","",IF(Table1515[[#This Row],[Category]]="M",COUNTIF($I$2:$I17,"M"),IF(Table1515[[#This Row],[Category]]="F",COUNTIF($I$2:$I17,"F"),0)))</f>
        <v/>
      </c>
      <c r="E17" s="34"/>
      <c r="F17" s="35"/>
      <c r="G17" s="36"/>
      <c r="H17" s="36"/>
      <c r="I17" s="37"/>
    </row>
    <row r="18" spans="1:9" x14ac:dyDescent="0.25">
      <c r="A18" s="27">
        <f>Table1515[[#This Row],[Full Name]]</f>
        <v>0</v>
      </c>
      <c r="B18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8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8" s="7" t="str">
        <f>IF(Table1515[[#This Row],[Category]]="","",IF(Table1515[[#This Row],[Category]]="M",COUNTIF($I$2:$I18,"M"),IF(Table1515[[#This Row],[Category]]="F",COUNTIF($I$2:$I18,"F"),0)))</f>
        <v/>
      </c>
      <c r="E18" s="34"/>
      <c r="F18" s="35"/>
      <c r="G18" s="36"/>
      <c r="H18" s="36"/>
      <c r="I18" s="37"/>
    </row>
    <row r="19" spans="1:9" x14ac:dyDescent="0.25">
      <c r="A19" s="27">
        <f>Table1515[[#This Row],[Full Name]]</f>
        <v>0</v>
      </c>
      <c r="B19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19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19" s="7" t="str">
        <f>IF(Table1515[[#This Row],[Category]]="","",IF(Table1515[[#This Row],[Category]]="M",COUNTIF($I$2:$I19,"M"),IF(Table1515[[#This Row],[Category]]="F",COUNTIF($I$2:$I19,"F"),0)))</f>
        <v/>
      </c>
      <c r="E19" s="34"/>
      <c r="F19" s="35"/>
      <c r="G19" s="36"/>
      <c r="H19" s="36"/>
      <c r="I19" s="37"/>
    </row>
    <row r="20" spans="1:9" x14ac:dyDescent="0.25">
      <c r="A20" s="27">
        <f>Table1515[[#This Row],[Full Name]]</f>
        <v>0</v>
      </c>
      <c r="B20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0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0" s="7" t="str">
        <f>IF(Table1515[[#This Row],[Category]]="","",IF(Table1515[[#This Row],[Category]]="M",COUNTIF($I$2:$I20,"M"),IF(Table1515[[#This Row],[Category]]="F",COUNTIF($I$2:$I20,"F"),0)))</f>
        <v/>
      </c>
      <c r="E20" s="34"/>
      <c r="F20" s="35"/>
      <c r="G20" s="36"/>
      <c r="H20" s="36"/>
      <c r="I20" s="37"/>
    </row>
    <row r="21" spans="1:9" x14ac:dyDescent="0.25">
      <c r="A21" s="27">
        <f>Table1515[[#This Row],[Full Name]]</f>
        <v>0</v>
      </c>
      <c r="B21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1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1" s="7" t="str">
        <f>IF(Table1515[[#This Row],[Category]]="","",IF(Table1515[[#This Row],[Category]]="M",COUNTIF($I$2:$I21,"M"),IF(Table1515[[#This Row],[Category]]="F",COUNTIF($I$2:$I21,"F"),0)))</f>
        <v/>
      </c>
      <c r="E21" s="34"/>
      <c r="F21" s="35"/>
      <c r="G21" s="36"/>
      <c r="H21" s="36"/>
      <c r="I21" s="37"/>
    </row>
    <row r="22" spans="1:9" x14ac:dyDescent="0.25">
      <c r="A22" s="27">
        <f>Table1515[[#This Row],[Full Name]]</f>
        <v>0</v>
      </c>
      <c r="B22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2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2" s="7" t="str">
        <f>IF(Table1515[[#This Row],[Category]]="","",IF(Table1515[[#This Row],[Category]]="M",COUNTIF($I$2:$I22,"M"),IF(Table1515[[#This Row],[Category]]="F",COUNTIF($I$2:$I22,"F"),0)))</f>
        <v/>
      </c>
      <c r="E22" s="34"/>
      <c r="F22" s="35"/>
      <c r="G22" s="36"/>
      <c r="H22" s="36"/>
      <c r="I22" s="37"/>
    </row>
    <row r="23" spans="1:9" x14ac:dyDescent="0.25">
      <c r="A23" s="27">
        <f>Table1515[[#This Row],[Full Name]]</f>
        <v>0</v>
      </c>
      <c r="B23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3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3" s="7" t="str">
        <f>IF(Table1515[[#This Row],[Category]]="","",IF(Table1515[[#This Row],[Category]]="M",COUNTIF($I$2:$I23,"M"),IF(Table1515[[#This Row],[Category]]="F",COUNTIF($I$2:$I23,"F"),0)))</f>
        <v/>
      </c>
      <c r="E23" s="34"/>
      <c r="F23" s="35"/>
      <c r="G23" s="36"/>
      <c r="H23" s="36"/>
      <c r="I23" s="37"/>
    </row>
    <row r="24" spans="1:9" x14ac:dyDescent="0.25">
      <c r="A24" s="27">
        <f>Table1515[[#This Row],[Full Name]]</f>
        <v>0</v>
      </c>
      <c r="B24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4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4" s="7" t="str">
        <f>IF(Table1515[[#This Row],[Category]]="","",IF(Table1515[[#This Row],[Category]]="M",COUNTIF($I$2:$I24,"M"),IF(Table1515[[#This Row],[Category]]="F",COUNTIF($I$2:$I24,"F"),0)))</f>
        <v/>
      </c>
      <c r="E24" s="34"/>
      <c r="F24" s="35"/>
      <c r="G24" s="36"/>
      <c r="H24" s="36"/>
      <c r="I24" s="37"/>
    </row>
    <row r="25" spans="1:9" x14ac:dyDescent="0.25">
      <c r="A25" s="27">
        <f>Table1515[[#This Row],[Full Name]]</f>
        <v>0</v>
      </c>
      <c r="B25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5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5" s="7" t="str">
        <f>IF(Table1515[[#This Row],[Category]]="","",IF(Table1515[[#This Row],[Category]]="M",COUNTIF($I$2:$I25,"M"),IF(Table1515[[#This Row],[Category]]="F",COUNTIF($I$2:$I25,"F"),0)))</f>
        <v/>
      </c>
      <c r="E25" s="34"/>
      <c r="F25" s="35"/>
      <c r="G25" s="36"/>
      <c r="H25" s="36"/>
      <c r="I25" s="37"/>
    </row>
    <row r="26" spans="1:9" x14ac:dyDescent="0.25">
      <c r="A26" s="27">
        <f>Table1515[[#This Row],[Full Name]]</f>
        <v>0</v>
      </c>
      <c r="B26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6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6" s="7" t="str">
        <f>IF(Table1515[[#This Row],[Category]]="","",IF(Table1515[[#This Row],[Category]]="M",COUNTIF($I$2:$I26,"M"),IF(Table1515[[#This Row],[Category]]="F",COUNTIF($I$2:$I26,"F"),0)))</f>
        <v/>
      </c>
      <c r="E26" s="34"/>
      <c r="F26" s="35"/>
      <c r="G26" s="36"/>
      <c r="H26" s="36"/>
      <c r="I26" s="37"/>
    </row>
    <row r="27" spans="1:9" x14ac:dyDescent="0.25">
      <c r="A27" s="27">
        <f>Table1515[[#This Row],[Full Name]]</f>
        <v>0</v>
      </c>
      <c r="B27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7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7" s="7" t="str">
        <f>IF(Table1515[[#This Row],[Category]]="","",IF(Table1515[[#This Row],[Category]]="M",COUNTIF($I$2:$I27,"M"),IF(Table1515[[#This Row],[Category]]="F",COUNTIF($I$2:$I27,"F"),0)))</f>
        <v/>
      </c>
      <c r="E27" s="34"/>
      <c r="F27" s="35"/>
      <c r="G27" s="36"/>
      <c r="H27" s="36"/>
      <c r="I27" s="37"/>
    </row>
    <row r="28" spans="1:9" x14ac:dyDescent="0.25">
      <c r="A28" s="27">
        <f>Table1515[[#This Row],[Full Name]]</f>
        <v>0</v>
      </c>
      <c r="B28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8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8" s="7" t="str">
        <f>IF(Table1515[[#This Row],[Category]]="","",IF(Table1515[[#This Row],[Category]]="M",COUNTIF($I$2:$I28,"M"),IF(Table1515[[#This Row],[Category]]="F",COUNTIF($I$2:$I28,"F"),0)))</f>
        <v/>
      </c>
      <c r="E28" s="34"/>
      <c r="F28" s="35"/>
      <c r="G28" s="36"/>
      <c r="H28" s="36"/>
      <c r="I28" s="37"/>
    </row>
    <row r="29" spans="1:9" x14ac:dyDescent="0.25">
      <c r="A29" s="27">
        <f>Table1515[[#This Row],[Full Name]]</f>
        <v>0</v>
      </c>
      <c r="B29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29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29" s="7" t="str">
        <f>IF(Table1515[[#This Row],[Category]]="","",IF(Table1515[[#This Row],[Category]]="M",COUNTIF($I$2:$I29,"M"),IF(Table1515[[#This Row],[Category]]="F",COUNTIF($I$2:$I29,"F"),0)))</f>
        <v/>
      </c>
      <c r="E29" s="34"/>
      <c r="F29" s="35"/>
      <c r="G29" s="36"/>
      <c r="H29" s="36"/>
      <c r="I29" s="37"/>
    </row>
    <row r="30" spans="1:9" x14ac:dyDescent="0.25">
      <c r="A30" s="27">
        <f>Table1515[[#This Row],[Full Name]]</f>
        <v>0</v>
      </c>
      <c r="B30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0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0" s="7" t="str">
        <f>IF(Table1515[[#This Row],[Category]]="","",IF(Table1515[[#This Row],[Category]]="M",COUNTIF($I$2:$I30,"M"),IF(Table1515[[#This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Table1515[[#This Row],[Full Name]]</f>
        <v>0</v>
      </c>
      <c r="B31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1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1" s="7" t="str">
        <f>IF(Table1515[[#This Row],[Category]]="","",IF(Table1515[[#This Row],[Category]]="M",COUNTIF($I$2:$I31,"M"),IF(Table1515[[#This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Table1515[[#This Row],[Full Name]]</f>
        <v>0</v>
      </c>
      <c r="B32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2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2" s="7" t="str">
        <f>IF(Table1515[[#This Row],[Category]]="","",IF(Table1515[[#This Row],[Category]]="M",COUNTIF($I$2:$I32,"M"),IF(Table1515[[#This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Table1515[[#This Row],[Full Name]]</f>
        <v>0</v>
      </c>
      <c r="B33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3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3" s="7" t="str">
        <f>IF(Table1515[[#This Row],[Category]]="","",IF(Table1515[[#This Row],[Category]]="M",COUNTIF($I$2:$I33,"M"),IF(Table1515[[#This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Table1515[[#This Row],[Full Name]]</f>
        <v>0</v>
      </c>
      <c r="B34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4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4" s="7" t="str">
        <f>IF(Table1515[[#This Row],[Category]]="","",IF(Table1515[[#This Row],[Category]]="M",COUNTIF($I$2:$I34,"M"),IF(Table1515[[#This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Table1515[[#This Row],[Full Name]]</f>
        <v>0</v>
      </c>
      <c r="B35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5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5" s="7" t="str">
        <f>IF(Table1515[[#This Row],[Category]]="","",IF(Table1515[[#This Row],[Category]]="M",COUNTIF($I$2:$I35,"M"),IF(Table1515[[#This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Table1515[[#This Row],[Full Name]]</f>
        <v>0</v>
      </c>
      <c r="B36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6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6" s="7" t="str">
        <f>IF(Table1515[[#This Row],[Category]]="","",IF(Table1515[[#This Row],[Category]]="M",COUNTIF($I$2:$I36,"M"),IF(Table1515[[#This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Table1515[[#This Row],[Full Name]]</f>
        <v>0</v>
      </c>
      <c r="B37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7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7" s="7" t="str">
        <f>IF(Table1515[[#This Row],[Category]]="","",IF(Table1515[[#This Row],[Category]]="M",COUNTIF($I$2:$I37,"M"),IF(Table1515[[#This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Table1515[[#This Row],[Full Name]]</f>
        <v>0</v>
      </c>
      <c r="B38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8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8" s="7" t="str">
        <f>IF(Table1515[[#This Row],[Category]]="","",IF(Table1515[[#This Row],[Category]]="M",COUNTIF($I$2:$I38,"M"),IF(Table1515[[#This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Table1515[[#This Row],[Full Name]]</f>
        <v>0</v>
      </c>
      <c r="B39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39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39" s="7" t="str">
        <f>IF(Table1515[[#This Row],[Category]]="","",IF(Table1515[[#This Row],[Category]]="M",COUNTIF($I$2:$I39,"M"),IF(Table1515[[#This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Table1515[[#This Row],[Full Name]]</f>
        <v>0</v>
      </c>
      <c r="B40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0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0" s="7" t="str">
        <f>IF(Table1515[[#This Row],[Category]]="","",IF(Table1515[[#This Row],[Category]]="M",COUNTIF($I$2:$I40,"M"),IF(Table1515[[#This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Table1515[[#This Row],[Full Name]]</f>
        <v>0</v>
      </c>
      <c r="B41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1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1" s="7" t="str">
        <f>IF(Table1515[[#This Row],[Category]]="","",IF(Table1515[[#This Row],[Category]]="M",COUNTIF($I$2:$I41,"M"),IF(Table1515[[#This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Table1515[[#This Row],[Full Name]]</f>
        <v>0</v>
      </c>
      <c r="B42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2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2" s="7" t="str">
        <f>IF(Table1515[[#This Row],[Category]]="","",IF(Table1515[[#This Row],[Category]]="M",COUNTIF($I$2:$I42,"M"),IF(Table1515[[#This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Table1515[[#This Row],[Full Name]]</f>
        <v>0</v>
      </c>
      <c r="B43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3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3" s="7" t="str">
        <f>IF(Table1515[[#This Row],[Category]]="","",IF(Table1515[[#This Row],[Category]]="M",COUNTIF($I$2:$I43,"M"),IF(Table1515[[#This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Table1515[[#This Row],[Full Name]]</f>
        <v>0</v>
      </c>
      <c r="B44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4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4" s="7" t="str">
        <f>IF(Table1515[[#This Row],[Category]]="","",IF(Table1515[[#This Row],[Category]]="M",COUNTIF($I$2:$I44,"M"),IF(Table1515[[#This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Table1515[[#This Row],[Full Name]]</f>
        <v>0</v>
      </c>
      <c r="B45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5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5" s="7" t="str">
        <f>IF(Table1515[[#This Row],[Category]]="","",IF(Table1515[[#This Row],[Category]]="M",COUNTIF($I$2:$I45,"M"),IF(Table1515[[#This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Table1515[[#This Row],[Full Name]]</f>
        <v>0</v>
      </c>
      <c r="B46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6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6" s="7" t="str">
        <f>IF(Table1515[[#This Row],[Category]]="","",IF(Table1515[[#This Row],[Category]]="M",COUNTIF($I$2:$I46,"M"),IF(Table1515[[#This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Table1515[[#This Row],[Full Name]]</f>
        <v>0</v>
      </c>
      <c r="B47" s="29" t="str">
        <f>IF(Table1515[[#This Row],[Full Name]]="","",IF(IFERROR(IFERROR(VLOOKUP(Table1515[[#This Row],[Full Name]],'Mens League'!B:B,1,FALSE),VLOOKUP(Table1515[[#This Row],[Full Name]],'Women''s League'!B:B,1,FALSE)),"NEEDS ADDING")="NEEDS ADDING","NEEDS ADDING","OK"))</f>
        <v/>
      </c>
      <c r="C47" s="29" t="str">
        <f>IF(Table1515[[#This Row],[Position]]="","",IF(Table1515[[#This Row],[Rank]]=1,30,IF(Table1515[[#This Row],[Rank]]=2,29,IF(Table1515[[#This Row],[Rank]]=3,28,IF(Table1515[[#This Row],[Rank]]=4,27,IF(Table1515[[#This Row],[Rank]]=5,26,IF(Table1515[[#This Row],[Rank]]=6,25,IF(Table1515[[#This Row],[Rank]]=7,24,IF(Table1515[[#This Row],[Rank]]=8,23,IF(Table1515[[#This Row],[Rank]]=9,22,IF(Table1515[[#This Row],[Rank]]=10,21,IF(Table1515[[#This Row],[Rank]]=11,20,IF(Table1515[[#This Row],[Rank]]=12,19,IF(Table1515[[#This Row],[Rank]]=13,18,IF(Table1515[[#This Row],[Rank]]=14,17,IF(Table1515[[#This Row],[Rank]]=15,16,IF(Table1515[[#This Row],[Rank]]=16,15,IF(Table1515[[#This Row],[Rank]]=17,14,IF(Table1515[[#This Row],[Rank]]=18,13,IF(Table1515[[#This Row],[Rank]]=19,12,IF(Table1515[[#This Row],[Rank]]=20,11,IF(Table1515[[#This Row],[Rank]]=21,10,IF(Table1515[[#This Row],[Rank]]=22,9,IF(Table1515[[#This Row],[Rank]]=23,8,IF(Table1515[[#This Row],[Rank]]=24,7,IF(Table1515[[#This Row],[Rank]]=25,6,IF(Table1515[[#This Row],[Rank]]=26,5,IF(Table1515[[#This Row],[Rank]]=27,4,IF(Table1515[[#This Row],[Rank]]=28,3,IF(Table1515[[#This Row],[Rank]]=29,2,IF(Table1515[[#This Row],[Rank]]=30,1,0)))))))))))))))))))))))))))))))</f>
        <v/>
      </c>
      <c r="D47" s="7" t="str">
        <f>IF(Table1515[[#This Row],[Category]]="","",IF(Table1515[[#This Row],[Category]]="M",COUNTIF($I$2:$I47,"M"),IF(Table1515[[#This Row],[Category]]="F",COUNTIF($I$2:$I47,"F"),0)))</f>
        <v/>
      </c>
      <c r="E47" s="34"/>
      <c r="F47" s="35"/>
      <c r="G47" s="36"/>
      <c r="H47" s="36"/>
      <c r="I47" s="37"/>
    </row>
  </sheetData>
  <phoneticPr fontId="11" type="noConversion"/>
  <conditionalFormatting sqref="B2:B47">
    <cfRule type="containsText" dxfId="17" priority="1" operator="containsText" text="OK">
      <formula>NOT(ISERROR(SEARCH("OK",B2)))</formula>
    </cfRule>
    <cfRule type="containsText" dxfId="16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CE70-5F1A-4495-8AF9-166F938ED48B}">
  <sheetPr>
    <tabColor rgb="FF00B0F0"/>
  </sheetPr>
  <dimension ref="A1:I48"/>
  <sheetViews>
    <sheetView topLeftCell="B4" workbookViewId="0">
      <selection activeCell="H20" sqref="H20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Table151516[[#This Row],[Full Name]]</f>
        <v>PARKER, Mark</v>
      </c>
      <c r="B2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2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30</v>
      </c>
      <c r="D2" s="7">
        <f>IF(Table151516[[#This Row],[Category]]="","",IF(Table151516[[#This Row],[Category]]="M",COUNTIF($I$2:$I2,"M"),IF(Table151516[[#This Row],[Category]]="F",COUNTIF($I$2:$I2,"F"),0)))</f>
        <v>1</v>
      </c>
      <c r="E2" s="34">
        <v>8</v>
      </c>
      <c r="F2" s="56">
        <v>2.5613425925925925E-2</v>
      </c>
      <c r="G2" s="36" t="s">
        <v>374</v>
      </c>
      <c r="H2" s="36" t="s">
        <v>2</v>
      </c>
      <c r="I2" s="37" t="s">
        <v>146</v>
      </c>
    </row>
    <row r="3" spans="1:9" x14ac:dyDescent="0.25">
      <c r="A3" s="26" t="str">
        <f>Table151516[[#This Row],[Full Name]]</f>
        <v>SIDANI, Ramzi</v>
      </c>
      <c r="B3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3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29</v>
      </c>
      <c r="D3" s="7">
        <f>IF(Table151516[[#This Row],[Category]]="","",IF(Table151516[[#This Row],[Category]]="M",COUNTIF($I$2:$I3,"M"),IF(Table151516[[#This Row],[Category]]="F",COUNTIF($I$2:$I3,"F"),0)))</f>
        <v>2</v>
      </c>
      <c r="E3" s="34">
        <v>14</v>
      </c>
      <c r="F3" s="56">
        <v>2.644675925925926E-2</v>
      </c>
      <c r="G3" s="36" t="s">
        <v>375</v>
      </c>
      <c r="H3" s="36" t="s">
        <v>1</v>
      </c>
      <c r="I3" s="37" t="s">
        <v>146</v>
      </c>
    </row>
    <row r="4" spans="1:9" x14ac:dyDescent="0.25">
      <c r="A4" s="26" t="str">
        <f>Table151516[[#This Row],[Full Name]]</f>
        <v>DUNNING, Phil</v>
      </c>
      <c r="B4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4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28</v>
      </c>
      <c r="D4" s="7">
        <f>IF(Table151516[[#This Row],[Category]]="","",IF(Table151516[[#This Row],[Category]]="M",COUNTIF($I$2:$I4,"M"),IF(Table151516[[#This Row],[Category]]="F",COUNTIF($I$2:$I4,"F"),0)))</f>
        <v>3</v>
      </c>
      <c r="E4" s="34">
        <v>23</v>
      </c>
      <c r="F4" s="56">
        <v>2.7268518518518518E-2</v>
      </c>
      <c r="G4" s="36" t="s">
        <v>342</v>
      </c>
      <c r="H4" s="36" t="s">
        <v>227</v>
      </c>
      <c r="I4" s="37" t="s">
        <v>146</v>
      </c>
    </row>
    <row r="5" spans="1:9" x14ac:dyDescent="0.25">
      <c r="A5" s="26" t="str">
        <f>Table151516[[#This Row],[Full Name]]</f>
        <v>COX, James</v>
      </c>
      <c r="B5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5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27</v>
      </c>
      <c r="D5" s="7">
        <f>IF(Table151516[[#This Row],[Category]]="","",IF(Table151516[[#This Row],[Category]]="M",COUNTIF($I$2:$I5,"M"),IF(Table151516[[#This Row],[Category]]="F",COUNTIF($I$2:$I5,"F"),0)))</f>
        <v>4</v>
      </c>
      <c r="E5" s="34">
        <v>26</v>
      </c>
      <c r="F5" s="56">
        <v>2.7673611111111111E-2</v>
      </c>
      <c r="G5" s="36" t="s">
        <v>322</v>
      </c>
      <c r="H5" s="36" t="s">
        <v>49</v>
      </c>
      <c r="I5" s="37" t="s">
        <v>146</v>
      </c>
    </row>
    <row r="6" spans="1:9" x14ac:dyDescent="0.25">
      <c r="A6" s="26" t="str">
        <f>Table151516[[#This Row],[Full Name]]</f>
        <v>BOLTON, Ian</v>
      </c>
      <c r="B6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6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26</v>
      </c>
      <c r="D6" s="7">
        <f>IF(Table151516[[#This Row],[Category]]="","",IF(Table151516[[#This Row],[Category]]="M",COUNTIF($I$2:$I6,"M"),IF(Table151516[[#This Row],[Category]]="F",COUNTIF($I$2:$I6,"F"),0)))</f>
        <v>5</v>
      </c>
      <c r="E6" s="34">
        <v>29</v>
      </c>
      <c r="F6" s="56">
        <v>2.8136574074074074E-2</v>
      </c>
      <c r="G6" s="36" t="s">
        <v>344</v>
      </c>
      <c r="H6" s="36" t="s">
        <v>5</v>
      </c>
      <c r="I6" s="37" t="s">
        <v>146</v>
      </c>
    </row>
    <row r="7" spans="1:9" x14ac:dyDescent="0.25">
      <c r="A7" s="26" t="str">
        <f>Table151516[[#This Row],[Full Name]]</f>
        <v>BROWN, Jamie</v>
      </c>
      <c r="B7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7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25</v>
      </c>
      <c r="D7" s="7">
        <f>IF(Table151516[[#This Row],[Category]]="","",IF(Table151516[[#This Row],[Category]]="M",COUNTIF($I$2:$I7,"M"),IF(Table151516[[#This Row],[Category]]="F",COUNTIF($I$2:$I7,"F"),0)))</f>
        <v>6</v>
      </c>
      <c r="E7" s="34">
        <v>31</v>
      </c>
      <c r="F7" s="56">
        <v>2.8298611111111111E-2</v>
      </c>
      <c r="G7" s="36" t="s">
        <v>345</v>
      </c>
      <c r="H7" s="36" t="s">
        <v>346</v>
      </c>
      <c r="I7" s="37" t="s">
        <v>146</v>
      </c>
    </row>
    <row r="8" spans="1:9" x14ac:dyDescent="0.25">
      <c r="A8" s="26" t="str">
        <f>Table151516[[#This Row],[Full Name]]</f>
        <v>PLEASS, Matt</v>
      </c>
      <c r="B8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8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24</v>
      </c>
      <c r="D8" s="7">
        <f>IF(Table151516[[#This Row],[Category]]="","",IF(Table151516[[#This Row],[Category]]="M",COUNTIF($I$2:$I8,"M"),IF(Table151516[[#This Row],[Category]]="F",COUNTIF($I$2:$I8,"F"),0)))</f>
        <v>7</v>
      </c>
      <c r="E8" s="34">
        <v>43</v>
      </c>
      <c r="F8" s="56">
        <v>2.9490740740740741E-2</v>
      </c>
      <c r="G8" s="36" t="s">
        <v>326</v>
      </c>
      <c r="H8" s="36" t="s">
        <v>69</v>
      </c>
      <c r="I8" s="37" t="s">
        <v>146</v>
      </c>
    </row>
    <row r="9" spans="1:9" x14ac:dyDescent="0.25">
      <c r="A9" s="26" t="str">
        <f>Table151516[[#This Row],[Full Name]]</f>
        <v>ALLSOP, Andrew</v>
      </c>
      <c r="B9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9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23</v>
      </c>
      <c r="D9" s="7">
        <f>IF(Table151516[[#This Row],[Category]]="","",IF(Table151516[[#This Row],[Category]]="M",COUNTIF($I$2:$I9,"M"),IF(Table151516[[#This Row],[Category]]="F",COUNTIF($I$2:$I9,"F"),0)))</f>
        <v>8</v>
      </c>
      <c r="E9" s="34">
        <v>53</v>
      </c>
      <c r="F9" s="56">
        <v>3.1296296296296294E-2</v>
      </c>
      <c r="G9" s="36" t="s">
        <v>171</v>
      </c>
      <c r="H9" s="36" t="s">
        <v>177</v>
      </c>
      <c r="I9" s="37" t="s">
        <v>146</v>
      </c>
    </row>
    <row r="10" spans="1:9" x14ac:dyDescent="0.25">
      <c r="A10" s="26" t="str">
        <f>Table151516[[#This Row],[Full Name]]</f>
        <v>GILES, George</v>
      </c>
      <c r="B10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0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22</v>
      </c>
      <c r="D10" s="7">
        <f>IF(Table151516[[#This Row],[Category]]="","",IF(Table151516[[#This Row],[Category]]="M",COUNTIF($I$2:$I10,"M"),IF(Table151516[[#This Row],[Category]]="F",COUNTIF($I$2:$I10,"F"),0)))</f>
        <v>9</v>
      </c>
      <c r="E10" s="34">
        <v>59</v>
      </c>
      <c r="F10" s="56">
        <v>3.1678240740740743E-2</v>
      </c>
      <c r="G10" s="36" t="s">
        <v>364</v>
      </c>
      <c r="H10" s="36" t="s">
        <v>128</v>
      </c>
      <c r="I10" s="37" t="s">
        <v>146</v>
      </c>
    </row>
    <row r="11" spans="1:9" x14ac:dyDescent="0.25">
      <c r="A11" s="26" t="str">
        <f>Table151516[[#This Row],[Full Name]]</f>
        <v>GOLDINGAY, Harry</v>
      </c>
      <c r="B11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1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21</v>
      </c>
      <c r="D11" s="7">
        <f>IF(Table151516[[#This Row],[Category]]="","",IF(Table151516[[#This Row],[Category]]="M",COUNTIF($I$2:$I11,"M"),IF(Table151516[[#This Row],[Category]]="F",COUNTIF($I$2:$I11,"F"),0)))</f>
        <v>10</v>
      </c>
      <c r="E11" s="34">
        <v>68</v>
      </c>
      <c r="F11" s="56">
        <v>3.2395833333333332E-2</v>
      </c>
      <c r="G11" s="36" t="s">
        <v>257</v>
      </c>
      <c r="H11" s="36" t="s">
        <v>125</v>
      </c>
      <c r="I11" s="37" t="s">
        <v>146</v>
      </c>
    </row>
    <row r="12" spans="1:9" x14ac:dyDescent="0.25">
      <c r="A12" s="26" t="str">
        <f>Table151516[[#This Row],[Full Name]]</f>
        <v>ASHTON, Mindy</v>
      </c>
      <c r="B12" s="28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2" s="28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30</v>
      </c>
      <c r="D12" s="7">
        <f>IF(Table151516[[#This Row],[Category]]="","",IF(Table151516[[#This Row],[Category]]="M",COUNTIF($I$2:$I12,"M"),IF(Table151516[[#This Row],[Category]]="F",COUNTIF($I$2:$I12,"F"),0)))</f>
        <v>1</v>
      </c>
      <c r="E12" s="34">
        <v>80</v>
      </c>
      <c r="F12" s="56">
        <v>3.3449074074074076E-2</v>
      </c>
      <c r="G12" s="36" t="s">
        <v>245</v>
      </c>
      <c r="H12" s="36" t="s">
        <v>52</v>
      </c>
      <c r="I12" s="37" t="s">
        <v>156</v>
      </c>
    </row>
    <row r="13" spans="1:9" x14ac:dyDescent="0.25">
      <c r="A13" s="27" t="str">
        <f>Table151516[[#This Row],[Full Name]]</f>
        <v>BRADFORD, Mark</v>
      </c>
      <c r="B13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3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20</v>
      </c>
      <c r="D13" s="7">
        <f>IF(Table151516[[#This Row],[Category]]="","",IF(Table151516[[#This Row],[Category]]="M",COUNTIF($I$2:$I13,"M"),IF(Table151516[[#This Row],[Category]]="F",COUNTIF($I$2:$I13,"F"),0)))</f>
        <v>11</v>
      </c>
      <c r="E13" s="38">
        <v>83</v>
      </c>
      <c r="F13" s="56">
        <v>3.3506944444444443E-2</v>
      </c>
      <c r="G13" s="40" t="s">
        <v>245</v>
      </c>
      <c r="H13" s="40" t="s">
        <v>7</v>
      </c>
      <c r="I13" s="41" t="s">
        <v>146</v>
      </c>
    </row>
    <row r="14" spans="1:9" x14ac:dyDescent="0.25">
      <c r="A14" s="27" t="str">
        <f>Table151516[[#This Row],[Full Name]]</f>
        <v>SMITH, Victoria</v>
      </c>
      <c r="B14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4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29</v>
      </c>
      <c r="D14" s="7">
        <f>IF(Table151516[[#This Row],[Category]]="","",IF(Table151516[[#This Row],[Category]]="M",COUNTIF($I$2:$I14,"M"),IF(Table151516[[#This Row],[Category]]="F",COUNTIF($I$2:$I14,"F"),0)))</f>
        <v>2</v>
      </c>
      <c r="E14" s="34">
        <v>88</v>
      </c>
      <c r="F14" s="56">
        <v>3.4004629629629628E-2</v>
      </c>
      <c r="G14" s="36" t="s">
        <v>246</v>
      </c>
      <c r="H14" s="36" t="s">
        <v>41</v>
      </c>
      <c r="I14" s="37" t="s">
        <v>156</v>
      </c>
    </row>
    <row r="15" spans="1:9" x14ac:dyDescent="0.25">
      <c r="A15" s="27" t="str">
        <f>Table151516[[#This Row],[Full Name]]</f>
        <v>LAWLESS, Sandra</v>
      </c>
      <c r="B15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5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28</v>
      </c>
      <c r="D15" s="7">
        <f>IF(Table151516[[#This Row],[Category]]="","",IF(Table151516[[#This Row],[Category]]="M",COUNTIF($I$2:$I15,"M"),IF(Table151516[[#This Row],[Category]]="F",COUNTIF($I$2:$I15,"F"),0)))</f>
        <v>3</v>
      </c>
      <c r="E15" s="34">
        <v>94</v>
      </c>
      <c r="F15" s="56">
        <v>3.4560185185185187E-2</v>
      </c>
      <c r="G15" s="36" t="s">
        <v>260</v>
      </c>
      <c r="H15" s="36" t="s">
        <v>66</v>
      </c>
      <c r="I15" s="37" t="s">
        <v>156</v>
      </c>
    </row>
    <row r="16" spans="1:9" x14ac:dyDescent="0.25">
      <c r="A16" s="27" t="str">
        <f>Table151516[[#This Row],[Full Name]]</f>
        <v>DUNNING, Chloe</v>
      </c>
      <c r="B16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6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27</v>
      </c>
      <c r="D16" s="7">
        <f>IF(Table151516[[#This Row],[Category]]="","",IF(Table151516[[#This Row],[Category]]="M",COUNTIF($I$2:$I16,"M"),IF(Table151516[[#This Row],[Category]]="F",COUNTIF($I$2:$I16,"F"),0)))</f>
        <v>4</v>
      </c>
      <c r="E16" s="34">
        <v>98</v>
      </c>
      <c r="F16" s="56">
        <v>3.4930555555555555E-2</v>
      </c>
      <c r="G16" s="36" t="s">
        <v>261</v>
      </c>
      <c r="H16" s="36" t="s">
        <v>376</v>
      </c>
      <c r="I16" s="37" t="s">
        <v>156</v>
      </c>
    </row>
    <row r="17" spans="1:9" x14ac:dyDescent="0.25">
      <c r="A17" s="27" t="str">
        <f>Table151516[[#This Row],[Full Name]]</f>
        <v>GRAVES, Laura</v>
      </c>
      <c r="B17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7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26</v>
      </c>
      <c r="D17" s="7">
        <f>IF(Table151516[[#This Row],[Category]]="","",IF(Table151516[[#This Row],[Category]]="M",COUNTIF($I$2:$I17,"M"),IF(Table151516[[#This Row],[Category]]="F",COUNTIF($I$2:$I17,"F"),0)))</f>
        <v>5</v>
      </c>
      <c r="E17" s="34">
        <v>105</v>
      </c>
      <c r="F17" s="56">
        <v>3.5798611111111114E-2</v>
      </c>
      <c r="G17" s="36" t="s">
        <v>217</v>
      </c>
      <c r="H17" s="36" t="s">
        <v>13</v>
      </c>
      <c r="I17" s="37" t="s">
        <v>156</v>
      </c>
    </row>
    <row r="18" spans="1:9" x14ac:dyDescent="0.25">
      <c r="A18" s="27" t="str">
        <f>Table151516[[#This Row],[Full Name]]</f>
        <v>PARKER, Emily</v>
      </c>
      <c r="B18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8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25</v>
      </c>
      <c r="D18" s="7">
        <f>IF(Table151516[[#This Row],[Category]]="","",IF(Table151516[[#This Row],[Category]]="M",COUNTIF($I$2:$I18,"M"),IF(Table151516[[#This Row],[Category]]="F",COUNTIF($I$2:$I18,"F"),0)))</f>
        <v>6</v>
      </c>
      <c r="E18" s="34">
        <v>111</v>
      </c>
      <c r="F18" s="56">
        <v>3.5995370370370372E-2</v>
      </c>
      <c r="G18" s="36" t="s">
        <v>350</v>
      </c>
      <c r="H18" s="36" t="s">
        <v>256</v>
      </c>
      <c r="I18" s="37" t="s">
        <v>156</v>
      </c>
    </row>
    <row r="19" spans="1:9" x14ac:dyDescent="0.25">
      <c r="A19" s="27" t="str">
        <f>Table151516[[#This Row],[Full Name]]</f>
        <v>SIDANI, Bethany</v>
      </c>
      <c r="B19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19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24</v>
      </c>
      <c r="D19" s="7">
        <f>IF(Table151516[[#This Row],[Category]]="","",IF(Table151516[[#This Row],[Category]]="M",COUNTIF($I$2:$I19,"M"),IF(Table151516[[#This Row],[Category]]="F",COUNTIF($I$2:$I19,"F"),0)))</f>
        <v>7</v>
      </c>
      <c r="E19" s="34">
        <v>116</v>
      </c>
      <c r="F19" s="56">
        <v>3.6550925925925924E-2</v>
      </c>
      <c r="G19" s="36" t="s">
        <v>377</v>
      </c>
      <c r="H19" s="36" t="s">
        <v>238</v>
      </c>
      <c r="I19" s="37" t="s">
        <v>156</v>
      </c>
    </row>
    <row r="20" spans="1:9" x14ac:dyDescent="0.25">
      <c r="A20" s="27" t="str">
        <f>Table151516[[#This Row],[Full Name]]</f>
        <v>BULL, Sarah</v>
      </c>
      <c r="B20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20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23</v>
      </c>
      <c r="D20" s="7">
        <f>IF(Table151516[[#This Row],[Category]]="","",IF(Table151516[[#This Row],[Category]]="M",COUNTIF($I$2:$I20,"M"),IF(Table151516[[#This Row],[Category]]="F",COUNTIF($I$2:$I20,"F"),0)))</f>
        <v>8</v>
      </c>
      <c r="E20" s="34">
        <v>132</v>
      </c>
      <c r="F20" s="56">
        <v>3.8032407407407411E-2</v>
      </c>
      <c r="G20" s="36" t="s">
        <v>378</v>
      </c>
      <c r="H20" s="36" t="s">
        <v>379</v>
      </c>
      <c r="I20" s="37" t="s">
        <v>156</v>
      </c>
    </row>
    <row r="21" spans="1:9" x14ac:dyDescent="0.25">
      <c r="A21" s="27" t="str">
        <f>Table151516[[#This Row],[Full Name]]</f>
        <v>GILLON, Alex</v>
      </c>
      <c r="B21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21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22</v>
      </c>
      <c r="D21" s="7">
        <f>IF(Table151516[[#This Row],[Category]]="","",IF(Table151516[[#This Row],[Category]]="M",COUNTIF($I$2:$I21,"M"),IF(Table151516[[#This Row],[Category]]="F",COUNTIF($I$2:$I21,"F"),0)))</f>
        <v>9</v>
      </c>
      <c r="E21" s="34">
        <v>133</v>
      </c>
      <c r="F21" s="56">
        <v>3.8067129629629631E-2</v>
      </c>
      <c r="G21" s="36" t="s">
        <v>380</v>
      </c>
      <c r="H21" s="36" t="s">
        <v>97</v>
      </c>
      <c r="I21" s="37" t="s">
        <v>156</v>
      </c>
    </row>
    <row r="22" spans="1:9" x14ac:dyDescent="0.25">
      <c r="A22" s="27" t="str">
        <f>Table151516[[#This Row],[Full Name]]</f>
        <v>CROSS, Jeff</v>
      </c>
      <c r="B22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>OK</v>
      </c>
      <c r="C22" s="29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>19</v>
      </c>
      <c r="D22" s="7">
        <f>IF(Table151516[[#This Row],[Category]]="","",IF(Table151516[[#This Row],[Category]]="M",COUNTIF($I$2:$I22,"M"),IF(Table151516[[#This Row],[Category]]="F",COUNTIF($I$2:$I22,"F"),0)))</f>
        <v>12</v>
      </c>
      <c r="E22" s="34">
        <v>215</v>
      </c>
      <c r="F22" s="56">
        <v>5.0277777777777775E-2</v>
      </c>
      <c r="G22" s="36" t="s">
        <v>381</v>
      </c>
      <c r="H22" s="36" t="s">
        <v>101</v>
      </c>
      <c r="I22" s="37" t="s">
        <v>146</v>
      </c>
    </row>
    <row r="23" spans="1:9" x14ac:dyDescent="0.25">
      <c r="A23" s="27">
        <f>Table151516[[#This Row],[Full Name]]</f>
        <v>0</v>
      </c>
      <c r="B23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3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3" s="7" t="str">
        <f>IF(Table151516[[#This Row],[Category]]="","",IF(Table151516[[#This Row],[Category]]="M",COUNTIF($I$2:$I23,"M"),IF(Table151516[[#This Row],[Category]]="F",COUNTIF($I$2:$I23,"F"),0)))</f>
        <v/>
      </c>
      <c r="E23" s="34"/>
      <c r="F23" s="56"/>
      <c r="G23" s="36"/>
      <c r="H23" s="36"/>
      <c r="I23" s="37"/>
    </row>
    <row r="24" spans="1:9" x14ac:dyDescent="0.25">
      <c r="A24" s="27">
        <f>Table151516[[#This Row],[Full Name]]</f>
        <v>0</v>
      </c>
      <c r="B24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4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4" s="7" t="str">
        <f>IF(Table151516[[#This Row],[Category]]="","",IF(Table151516[[#This Row],[Category]]="M",COUNTIF($I$2:$I24,"M"),IF(Table151516[[#This Row],[Category]]="F",COUNTIF($I$2:$I24,"F"),0)))</f>
        <v/>
      </c>
      <c r="E24" s="34"/>
      <c r="F24" s="56"/>
      <c r="G24" s="36"/>
      <c r="H24" s="36"/>
      <c r="I24" s="37"/>
    </row>
    <row r="25" spans="1:9" x14ac:dyDescent="0.25">
      <c r="A25" s="27">
        <f>Table151516[[#This Row],[Full Name]]</f>
        <v>0</v>
      </c>
      <c r="B25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5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5" s="7" t="str">
        <f>IF(Table151516[[#This Row],[Category]]="","",IF(Table151516[[#This Row],[Category]]="M",COUNTIF($I$2:$I25,"M"),IF(Table151516[[#This Row],[Category]]="F",COUNTIF($I$2:$I25,"F"),0)))</f>
        <v/>
      </c>
      <c r="E25" s="34"/>
      <c r="F25" s="56"/>
      <c r="G25" s="36"/>
      <c r="H25" s="36"/>
      <c r="I25" s="37"/>
    </row>
    <row r="26" spans="1:9" x14ac:dyDescent="0.25">
      <c r="A26" s="27">
        <f>Table151516[[#This Row],[Full Name]]</f>
        <v>0</v>
      </c>
      <c r="B26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6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6" s="7" t="str">
        <f>IF(Table151516[[#This Row],[Category]]="","",IF(Table151516[[#This Row],[Category]]="M",COUNTIF($I$2:$I26,"M"),IF(Table151516[[#This Row],[Category]]="F",COUNTIF($I$2:$I26,"F"),0)))</f>
        <v/>
      </c>
      <c r="E26" s="34"/>
      <c r="F26" s="56"/>
      <c r="G26" s="36"/>
      <c r="H26" s="36"/>
      <c r="I26" s="37"/>
    </row>
    <row r="27" spans="1:9" x14ac:dyDescent="0.25">
      <c r="A27" s="27">
        <f>Table151516[[#This Row],[Full Name]]</f>
        <v>0</v>
      </c>
      <c r="B27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7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7" s="7" t="str">
        <f>IF(Table151516[[#This Row],[Category]]="","",IF(Table151516[[#This Row],[Category]]="M",COUNTIF($I$2:$I27,"M"),IF(Table151516[[#This Row],[Category]]="F",COUNTIF($I$2:$I27,"F"),0)))</f>
        <v/>
      </c>
      <c r="E27" s="34"/>
      <c r="F27" s="56"/>
      <c r="G27" s="36"/>
      <c r="H27" s="36"/>
      <c r="I27" s="37"/>
    </row>
    <row r="28" spans="1:9" x14ac:dyDescent="0.25">
      <c r="A28" s="27">
        <f>Table151516[[#This Row],[Full Name]]</f>
        <v>0</v>
      </c>
      <c r="B28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8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8" s="7" t="str">
        <f>IF(Table151516[[#This Row],[Category]]="","",IF(Table151516[[#This Row],[Category]]="M",COUNTIF($I$2:$I28,"M"),IF(Table151516[[#This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Table151516[[#This Row],[Full Name]]</f>
        <v>0</v>
      </c>
      <c r="B29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29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29" s="7" t="str">
        <f>IF(Table151516[[#This Row],[Category]]="","",IF(Table151516[[#This Row],[Category]]="M",COUNTIF($I$2:$I29,"M"),IF(Table151516[[#This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Table151516[[#This Row],[Full Name]]</f>
        <v>0</v>
      </c>
      <c r="B30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0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0" s="7" t="str">
        <f>IF(Table151516[[#This Row],[Category]]="","",IF(Table151516[[#This Row],[Category]]="M",COUNTIF($I$2:$I30,"M"),IF(Table151516[[#This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Table151516[[#This Row],[Full Name]]</f>
        <v>0</v>
      </c>
      <c r="B31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1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1" s="7" t="str">
        <f>IF(Table151516[[#This Row],[Category]]="","",IF(Table151516[[#This Row],[Category]]="M",COUNTIF($I$2:$I31,"M"),IF(Table151516[[#This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Table151516[[#This Row],[Full Name]]</f>
        <v>0</v>
      </c>
      <c r="B32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2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2" s="7" t="str">
        <f>IF(Table151516[[#This Row],[Category]]="","",IF(Table151516[[#This Row],[Category]]="M",COUNTIF($I$2:$I32,"M"),IF(Table151516[[#This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Table151516[[#This Row],[Full Name]]</f>
        <v>0</v>
      </c>
      <c r="B33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3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3" s="7" t="str">
        <f>IF(Table151516[[#This Row],[Category]]="","",IF(Table151516[[#This Row],[Category]]="M",COUNTIF($I$2:$I33,"M"),IF(Table151516[[#This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Table151516[[#This Row],[Full Name]]</f>
        <v>0</v>
      </c>
      <c r="B34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4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4" s="7" t="str">
        <f>IF(Table151516[[#This Row],[Category]]="","",IF(Table151516[[#This Row],[Category]]="M",COUNTIF($I$2:$I34,"M"),IF(Table151516[[#This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Table151516[[#This Row],[Full Name]]</f>
        <v>0</v>
      </c>
      <c r="B35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5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5" s="7" t="str">
        <f>IF(Table151516[[#This Row],[Category]]="","",IF(Table151516[[#This Row],[Category]]="M",COUNTIF($I$2:$I35,"M"),IF(Table151516[[#This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Table151516[[#This Row],[Full Name]]</f>
        <v>0</v>
      </c>
      <c r="B36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6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6" s="7" t="str">
        <f>IF(Table151516[[#This Row],[Category]]="","",IF(Table151516[[#This Row],[Category]]="M",COUNTIF($I$2:$I36,"M"),IF(Table151516[[#This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Table151516[[#This Row],[Full Name]]</f>
        <v>0</v>
      </c>
      <c r="B37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7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7" s="7" t="str">
        <f>IF(Table151516[[#This Row],[Category]]="","",IF(Table151516[[#This Row],[Category]]="M",COUNTIF($I$2:$I37,"M"),IF(Table151516[[#This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Table151516[[#This Row],[Full Name]]</f>
        <v>0</v>
      </c>
      <c r="B38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8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8" s="7" t="str">
        <f>IF(Table151516[[#This Row],[Category]]="","",IF(Table151516[[#This Row],[Category]]="M",COUNTIF($I$2:$I38,"M"),IF(Table151516[[#This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Table151516[[#This Row],[Full Name]]</f>
        <v>0</v>
      </c>
      <c r="B39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39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39" s="7" t="str">
        <f>IF(Table151516[[#This Row],[Category]]="","",IF(Table151516[[#This Row],[Category]]="M",COUNTIF($I$2:$I39,"M"),IF(Table151516[[#This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Table151516[[#This Row],[Full Name]]</f>
        <v>0</v>
      </c>
      <c r="B40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0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0" s="7" t="str">
        <f>IF(Table151516[[#This Row],[Category]]="","",IF(Table151516[[#This Row],[Category]]="M",COUNTIF($I$2:$I40,"M"),IF(Table151516[[#This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Table151516[[#This Row],[Full Name]]</f>
        <v>0</v>
      </c>
      <c r="B41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1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1" s="7" t="str">
        <f>IF(Table151516[[#This Row],[Category]]="","",IF(Table151516[[#This Row],[Category]]="M",COUNTIF($I$2:$I41,"M"),IF(Table151516[[#This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Table151516[[#This Row],[Full Name]]</f>
        <v>0</v>
      </c>
      <c r="B42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2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2" s="7" t="str">
        <f>IF(Table151516[[#This Row],[Category]]="","",IF(Table151516[[#This Row],[Category]]="M",COUNTIF($I$2:$I42,"M"),IF(Table151516[[#This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Table151516[[#This Row],[Full Name]]</f>
        <v>0</v>
      </c>
      <c r="B43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3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3" s="7" t="str">
        <f>IF(Table151516[[#This Row],[Category]]="","",IF(Table151516[[#This Row],[Category]]="M",COUNTIF($I$2:$I43,"M"),IF(Table151516[[#This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Table151516[[#This Row],[Full Name]]</f>
        <v>0</v>
      </c>
      <c r="B44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4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4" s="7" t="str">
        <f>IF(Table151516[[#This Row],[Category]]="","",IF(Table151516[[#This Row],[Category]]="M",COUNTIF($I$2:$I44,"M"),IF(Table151516[[#This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Table151516[[#This Row],[Full Name]]</f>
        <v>0</v>
      </c>
      <c r="B45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5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5" s="7" t="str">
        <f>IF(Table151516[[#This Row],[Category]]="","",IF(Table151516[[#This Row],[Category]]="M",COUNTIF($I$2:$I45,"M"),IF(Table151516[[#This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Table151516[[#This Row],[Full Name]]</f>
        <v>0</v>
      </c>
      <c r="B46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6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6" s="7" t="str">
        <f>IF(Table151516[[#This Row],[Category]]="","",IF(Table151516[[#This Row],[Category]]="M",COUNTIF($I$2:$I46,"M"),IF(Table151516[[#This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Table151516[[#This Row],[Full Name]]</f>
        <v>0</v>
      </c>
      <c r="B47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7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7" s="7" t="str">
        <f>IF(Table151516[[#This Row],[Category]]="","",IF(Table151516[[#This Row],[Category]]="M",COUNTIF($I$2:$I47,"M"),IF(Table151516[[#This Row],[Category]]="F",COUNTIF($I$2:$I47,"F"),0)))</f>
        <v/>
      </c>
      <c r="E47" s="34"/>
      <c r="F47" s="56"/>
      <c r="G47" s="36"/>
      <c r="H47" s="36"/>
      <c r="I47" s="37"/>
    </row>
    <row r="48" spans="1:9" x14ac:dyDescent="0.25">
      <c r="A48" s="27">
        <f>Table151516[[#This Row],[Full Name]]</f>
        <v>0</v>
      </c>
      <c r="B48" s="29" t="str">
        <f>IF(Table151516[[#This Row],[Full Name]]="","",IF(IFERROR(IFERROR(VLOOKUP(Table151516[[#This Row],[Full Name]],'Mens League'!B:B,1,FALSE),VLOOKUP(Table151516[[#This Row],[Full Name]],'Women''s League'!B:B,1,FALSE)),"NEEDS ADDING")="NEEDS ADDING","NEEDS ADDING","OK"))</f>
        <v/>
      </c>
      <c r="C48" s="29" t="str">
        <f>IF(Table151516[[#This Row],[Position]]="","",IF(Table151516[[#This Row],[Rank]]=1,30,IF(Table151516[[#This Row],[Rank]]=2,29,IF(Table151516[[#This Row],[Rank]]=3,28,IF(Table151516[[#This Row],[Rank]]=4,27,IF(Table151516[[#This Row],[Rank]]=5,26,IF(Table151516[[#This Row],[Rank]]=6,25,IF(Table151516[[#This Row],[Rank]]=7,24,IF(Table151516[[#This Row],[Rank]]=8,23,IF(Table151516[[#This Row],[Rank]]=9,22,IF(Table151516[[#This Row],[Rank]]=10,21,IF(Table151516[[#This Row],[Rank]]=11,20,IF(Table151516[[#This Row],[Rank]]=12,19,IF(Table151516[[#This Row],[Rank]]=13,18,IF(Table151516[[#This Row],[Rank]]=14,17,IF(Table151516[[#This Row],[Rank]]=15,16,IF(Table151516[[#This Row],[Rank]]=16,15,IF(Table151516[[#This Row],[Rank]]=17,14,IF(Table151516[[#This Row],[Rank]]=18,13,IF(Table151516[[#This Row],[Rank]]=19,12,IF(Table151516[[#This Row],[Rank]]=20,11,IF(Table151516[[#This Row],[Rank]]=21,10,IF(Table151516[[#This Row],[Rank]]=22,9,IF(Table151516[[#This Row],[Rank]]=23,8,IF(Table151516[[#This Row],[Rank]]=24,7,IF(Table151516[[#This Row],[Rank]]=25,6,IF(Table151516[[#This Row],[Rank]]=26,5,IF(Table151516[[#This Row],[Rank]]=27,4,IF(Table151516[[#This Row],[Rank]]=28,3,IF(Table151516[[#This Row],[Rank]]=29,2,IF(Table151516[[#This Row],[Rank]]=30,1,0)))))))))))))))))))))))))))))))</f>
        <v/>
      </c>
      <c r="D48" s="7" t="str">
        <f>IF(Table151516[[#This Row],[Category]]="","",IF(Table151516[[#This Row],[Category]]="M",COUNTIF($I$2:$I48,"M"),IF(Table151516[[#This Row],[Category]]="F",COUNTIF($I$2:$I48,"F"),0)))</f>
        <v/>
      </c>
      <c r="E48" s="34"/>
      <c r="F48" s="56"/>
      <c r="G48" s="36"/>
      <c r="H48" s="36"/>
      <c r="I48" s="37"/>
    </row>
  </sheetData>
  <phoneticPr fontId="11" type="noConversion"/>
  <conditionalFormatting sqref="B2:B48">
    <cfRule type="containsText" dxfId="15" priority="1" operator="containsText" text="OK">
      <formula>NOT(ISERROR(SEARCH("OK",B2)))</formula>
    </cfRule>
    <cfRule type="containsText" dxfId="14" priority="2" operator="containsText" text="NEEDS ADDING">
      <formula>NOT(ISERROR(SEARCH("NEEDS ADDING",B2)))</formula>
    </cfRule>
  </conditionalFormatting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B8D5-B120-47B6-B9BF-4A695064555D}">
  <sheetPr>
    <tabColor rgb="FF00B0F0"/>
  </sheetPr>
  <dimension ref="A1:I48"/>
  <sheetViews>
    <sheetView topLeftCell="B1" workbookViewId="0">
      <selection activeCell="E5" sqref="E5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Table156789131419[[#This Row],[Full Name]]</f>
        <v>PLEASS, Matt</v>
      </c>
      <c r="B2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2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30</v>
      </c>
      <c r="D2" s="7">
        <f>IF(Table156789131419[[#This Row],[Category]]="","",IF(Table156789131419[[#This Row],[Category]]="M",COUNTIF($I$2:$I2,"M"),IF(Table156789131419[[#This Row],[Category]]="F",COUNTIF($I$2:$I2,"F"),0)))</f>
        <v>1</v>
      </c>
      <c r="E2" s="34">
        <v>36</v>
      </c>
      <c r="F2" s="56">
        <v>3.5208333333333335E-2</v>
      </c>
      <c r="G2" s="36" t="s">
        <v>319</v>
      </c>
      <c r="H2" s="36" t="s">
        <v>69</v>
      </c>
      <c r="I2" s="37" t="s">
        <v>146</v>
      </c>
    </row>
    <row r="3" spans="1:9" x14ac:dyDescent="0.25">
      <c r="A3" s="26" t="str">
        <f>Table156789131419[[#This Row],[Full Name]]</f>
        <v>STANLEY, Andrew</v>
      </c>
      <c r="B3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3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29</v>
      </c>
      <c r="D3" s="7">
        <f>IF(Table156789131419[[#This Row],[Category]]="","",IF(Table156789131419[[#This Row],[Category]]="M",COUNTIF($I$2:$I3,"M"),IF(Table156789131419[[#This Row],[Category]]="F",COUNTIF($I$2:$I3,"F"),0)))</f>
        <v>2</v>
      </c>
      <c r="E3" s="34">
        <v>118</v>
      </c>
      <c r="F3" s="56">
        <v>3.9525462962962964E-2</v>
      </c>
      <c r="G3" s="36" t="s">
        <v>382</v>
      </c>
      <c r="H3" s="36" t="s">
        <v>6</v>
      </c>
      <c r="I3" s="37" t="s">
        <v>146</v>
      </c>
    </row>
    <row r="4" spans="1:9" x14ac:dyDescent="0.25">
      <c r="A4" s="26" t="str">
        <f>Table156789131419[[#This Row],[Full Name]]</f>
        <v>ALLSOP, Andrew</v>
      </c>
      <c r="B4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4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28</v>
      </c>
      <c r="D4" s="7">
        <f>IF(Table156789131419[[#This Row],[Category]]="","",IF(Table156789131419[[#This Row],[Category]]="M",COUNTIF($I$2:$I4,"M"),IF(Table156789131419[[#This Row],[Category]]="F",COUNTIF($I$2:$I4,"F"),0)))</f>
        <v>3</v>
      </c>
      <c r="E4" s="34">
        <v>172</v>
      </c>
      <c r="F4" s="56">
        <v>4.175925925925926E-2</v>
      </c>
      <c r="G4" s="36" t="s">
        <v>383</v>
      </c>
      <c r="H4" s="36" t="s">
        <v>177</v>
      </c>
      <c r="I4" s="37" t="s">
        <v>146</v>
      </c>
    </row>
    <row r="5" spans="1:9" x14ac:dyDescent="0.25">
      <c r="A5" s="26" t="str">
        <f>Table156789131419[[#This Row],[Full Name]]</f>
        <v>BLAND, Damon</v>
      </c>
      <c r="B5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5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27</v>
      </c>
      <c r="D5" s="7">
        <f>IF(Table156789131419[[#This Row],[Category]]="","",IF(Table156789131419[[#This Row],[Category]]="M",COUNTIF($I$2:$I5,"M"),IF(Table156789131419[[#This Row],[Category]]="F",COUNTIF($I$2:$I5,"F"),0)))</f>
        <v>4</v>
      </c>
      <c r="E5" s="34">
        <v>199</v>
      </c>
      <c r="F5" s="56">
        <v>4.2488425925925923E-2</v>
      </c>
      <c r="G5" s="36" t="s">
        <v>333</v>
      </c>
      <c r="H5" s="36" t="s">
        <v>9</v>
      </c>
      <c r="I5" s="37" t="s">
        <v>146</v>
      </c>
    </row>
    <row r="6" spans="1:9" x14ac:dyDescent="0.25">
      <c r="A6" s="26" t="str">
        <f>Table156789131419[[#This Row],[Full Name]]</f>
        <v>BRADFORD, Mark</v>
      </c>
      <c r="B6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6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26</v>
      </c>
      <c r="D6" s="7">
        <f>IF(Table156789131419[[#This Row],[Category]]="","",IF(Table156789131419[[#This Row],[Category]]="M",COUNTIF($I$2:$I6,"M"),IF(Table156789131419[[#This Row],[Category]]="F",COUNTIF($I$2:$I6,"F"),0)))</f>
        <v>5</v>
      </c>
      <c r="E6" s="34">
        <v>211</v>
      </c>
      <c r="F6" s="56">
        <v>4.3136574074074077E-2</v>
      </c>
      <c r="G6" s="36" t="s">
        <v>245</v>
      </c>
      <c r="H6" s="36" t="s">
        <v>7</v>
      </c>
      <c r="I6" s="37" t="s">
        <v>146</v>
      </c>
    </row>
    <row r="7" spans="1:9" x14ac:dyDescent="0.25">
      <c r="A7" s="26" t="str">
        <f>Table156789131419[[#This Row],[Full Name]]</f>
        <v>SMITH, Victoria</v>
      </c>
      <c r="B7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7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30</v>
      </c>
      <c r="D7" s="7">
        <f>IF(Table156789131419[[#This Row],[Category]]="","",IF(Table156789131419[[#This Row],[Category]]="M",COUNTIF($I$2:$I7,"M"),IF(Table156789131419[[#This Row],[Category]]="F",COUNTIF($I$2:$I7,"F"),0)))</f>
        <v>1</v>
      </c>
      <c r="E7" s="34">
        <v>256</v>
      </c>
      <c r="F7" s="56">
        <v>4.4745370370370373E-2</v>
      </c>
      <c r="G7" s="36" t="s">
        <v>148</v>
      </c>
      <c r="H7" s="36" t="s">
        <v>41</v>
      </c>
      <c r="I7" s="37" t="s">
        <v>156</v>
      </c>
    </row>
    <row r="8" spans="1:9" x14ac:dyDescent="0.25">
      <c r="A8" s="26" t="str">
        <f>Table156789131419[[#This Row],[Full Name]]</f>
        <v>HEITMANN, Laura</v>
      </c>
      <c r="B8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8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29</v>
      </c>
      <c r="D8" s="7">
        <f>IF(Table156789131419[[#This Row],[Category]]="","",IF(Table156789131419[[#This Row],[Category]]="M",COUNTIF($I$2:$I8,"M"),IF(Table156789131419[[#This Row],[Category]]="F",COUNTIF($I$2:$I8,"F"),0)))</f>
        <v>2</v>
      </c>
      <c r="E8" s="34">
        <v>456</v>
      </c>
      <c r="F8" s="56">
        <v>5.6550925925925928E-2</v>
      </c>
      <c r="G8" s="36" t="s">
        <v>181</v>
      </c>
      <c r="H8" s="36" t="s">
        <v>240</v>
      </c>
      <c r="I8" s="37" t="s">
        <v>156</v>
      </c>
    </row>
    <row r="9" spans="1:9" x14ac:dyDescent="0.25">
      <c r="A9" s="26" t="str">
        <f>Table156789131419[[#This Row],[Full Name]]</f>
        <v>ATKINSON, Matt</v>
      </c>
      <c r="B9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9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25</v>
      </c>
      <c r="D9" s="7">
        <f>IF(Table156789131419[[#This Row],[Category]]="","",IF(Table156789131419[[#This Row],[Category]]="M",COUNTIF($I$2:$I9,"M"),IF(Table156789131419[[#This Row],[Category]]="F",COUNTIF($I$2:$I9,"F"),0)))</f>
        <v>6</v>
      </c>
      <c r="E9" s="34">
        <v>486</v>
      </c>
      <c r="F9" s="56">
        <v>5.9687499999999998E-2</v>
      </c>
      <c r="G9" s="36" t="s">
        <v>384</v>
      </c>
      <c r="H9" s="36" t="s">
        <v>244</v>
      </c>
      <c r="I9" s="37" t="s">
        <v>146</v>
      </c>
    </row>
    <row r="10" spans="1:9" x14ac:dyDescent="0.25">
      <c r="A10" s="26" t="str">
        <f>Table156789131419[[#This Row],[Full Name]]</f>
        <v>HENFREY, Julie</v>
      </c>
      <c r="B10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>OK</v>
      </c>
      <c r="C10" s="28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>28</v>
      </c>
      <c r="D10" s="7">
        <f>IF(Table156789131419[[#This Row],[Category]]="","",IF(Table156789131419[[#This Row],[Category]]="M",COUNTIF($I$2:$I10,"M"),IF(Table156789131419[[#This Row],[Category]]="F",COUNTIF($I$2:$I10,"F"),0)))</f>
        <v>3</v>
      </c>
      <c r="E10" s="34">
        <v>535</v>
      </c>
      <c r="F10" s="56">
        <v>8.637731481481481E-2</v>
      </c>
      <c r="G10" s="36" t="s">
        <v>385</v>
      </c>
      <c r="H10" s="36" t="s">
        <v>16</v>
      </c>
      <c r="I10" s="37" t="s">
        <v>156</v>
      </c>
    </row>
    <row r="11" spans="1:9" x14ac:dyDescent="0.25">
      <c r="A11" s="26">
        <f>Table156789131419[[#This Row],[Full Name]]</f>
        <v>0</v>
      </c>
      <c r="B11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1" s="28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1" s="7" t="str">
        <f>IF(Table156789131419[[#This Row],[Category]]="","",IF(Table156789131419[[#This Row],[Category]]="M",COUNTIF($I$2:$I11,"M"),IF(Table156789131419[[#This Row],[Category]]="F",COUNTIF($I$2:$I11,"F"),0)))</f>
        <v/>
      </c>
      <c r="E11" s="34"/>
      <c r="F11" s="56"/>
      <c r="G11" s="36"/>
      <c r="H11" s="36"/>
      <c r="I11" s="37"/>
    </row>
    <row r="12" spans="1:9" x14ac:dyDescent="0.25">
      <c r="A12" s="26">
        <f>Table156789131419[[#This Row],[Full Name]]</f>
        <v>0</v>
      </c>
      <c r="B12" s="28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2" s="28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2" s="7" t="str">
        <f>IF(Table156789131419[[#This Row],[Category]]="","",IF(Table156789131419[[#This Row],[Category]]="M",COUNTIF($I$2:$I12,"M"),IF(Table156789131419[[#This Row],[Category]]="F",COUNTIF($I$2:$I12,"F"),0)))</f>
        <v/>
      </c>
      <c r="E12" s="34"/>
      <c r="F12" s="56"/>
      <c r="G12" s="36"/>
      <c r="H12" s="36"/>
      <c r="I12" s="37"/>
    </row>
    <row r="13" spans="1:9" x14ac:dyDescent="0.25">
      <c r="A13" s="27">
        <f>Table156789131419[[#This Row],[Full Name]]</f>
        <v>0</v>
      </c>
      <c r="B13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3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3" s="7" t="str">
        <f>IF(Table156789131419[[#This Row],[Category]]="","",IF(Table156789131419[[#This Row],[Category]]="M",COUNTIF($I$2:$I13,"M"),IF(Table156789131419[[#This Row],[Category]]="F",COUNTIF($I$2:$I13,"F"),0)))</f>
        <v/>
      </c>
      <c r="E13" s="38"/>
      <c r="F13" s="56"/>
      <c r="G13" s="40"/>
      <c r="H13" s="40"/>
      <c r="I13" s="41"/>
    </row>
    <row r="14" spans="1:9" x14ac:dyDescent="0.25">
      <c r="A14" s="27">
        <f>Table156789131419[[#This Row],[Full Name]]</f>
        <v>0</v>
      </c>
      <c r="B14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4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4" s="7" t="str">
        <f>IF(Table156789131419[[#This Row],[Category]]="","",IF(Table156789131419[[#This Row],[Category]]="M",COUNTIF($I$2:$I14,"M"),IF(Table156789131419[[#This Row],[Category]]="F",COUNTIF($I$2:$I14,"F"),0)))</f>
        <v/>
      </c>
      <c r="E14" s="34"/>
      <c r="F14" s="56"/>
      <c r="G14" s="36"/>
      <c r="H14" s="36"/>
      <c r="I14" s="37"/>
    </row>
    <row r="15" spans="1:9" x14ac:dyDescent="0.25">
      <c r="A15" s="27">
        <f>Table156789131419[[#This Row],[Full Name]]</f>
        <v>0</v>
      </c>
      <c r="B15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5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5" s="7" t="str">
        <f>IF(Table156789131419[[#This Row],[Category]]="","",IF(Table156789131419[[#This Row],[Category]]="M",COUNTIF($I$2:$I15,"M"),IF(Table156789131419[[#This Row],[Category]]="F",COUNTIF($I$2:$I15,"F"),0)))</f>
        <v/>
      </c>
      <c r="E15" s="34"/>
      <c r="F15" s="56"/>
      <c r="G15" s="36"/>
      <c r="H15" s="36"/>
      <c r="I15" s="37"/>
    </row>
    <row r="16" spans="1:9" x14ac:dyDescent="0.25">
      <c r="A16" s="27">
        <f>Table156789131419[[#This Row],[Full Name]]</f>
        <v>0</v>
      </c>
      <c r="B16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6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6" s="7" t="str">
        <f>IF(Table156789131419[[#This Row],[Category]]="","",IF(Table156789131419[[#This Row],[Category]]="M",COUNTIF($I$2:$I16,"M"),IF(Table156789131419[[#This Row],[Category]]="F",COUNTIF($I$2:$I16,"F"),0)))</f>
        <v/>
      </c>
      <c r="E16" s="34"/>
      <c r="F16" s="56"/>
      <c r="G16" s="36"/>
      <c r="H16" s="36"/>
      <c r="I16" s="37"/>
    </row>
    <row r="17" spans="1:9" x14ac:dyDescent="0.25">
      <c r="A17" s="27">
        <f>Table156789131419[[#This Row],[Full Name]]</f>
        <v>0</v>
      </c>
      <c r="B17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7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7" s="7" t="str">
        <f>IF(Table156789131419[[#This Row],[Category]]="","",IF(Table156789131419[[#This Row],[Category]]="M",COUNTIF($I$2:$I17,"M"),IF(Table156789131419[[#This Row],[Category]]="F",COUNTIF($I$2:$I17,"F"),0)))</f>
        <v/>
      </c>
      <c r="E17" s="34"/>
      <c r="F17" s="56"/>
      <c r="G17" s="36"/>
      <c r="H17" s="36"/>
      <c r="I17" s="37"/>
    </row>
    <row r="18" spans="1:9" x14ac:dyDescent="0.25">
      <c r="A18" s="27">
        <f>Table156789131419[[#This Row],[Full Name]]</f>
        <v>0</v>
      </c>
      <c r="B18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8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8" s="7" t="str">
        <f>IF(Table156789131419[[#This Row],[Category]]="","",IF(Table156789131419[[#This Row],[Category]]="M",COUNTIF($I$2:$I18,"M"),IF(Table156789131419[[#This Row],[Category]]="F",COUNTIF($I$2:$I18,"F"),0)))</f>
        <v/>
      </c>
      <c r="E18" s="34"/>
      <c r="F18" s="56"/>
      <c r="G18" s="36"/>
      <c r="H18" s="36"/>
      <c r="I18" s="37"/>
    </row>
    <row r="19" spans="1:9" x14ac:dyDescent="0.25">
      <c r="A19" s="27">
        <f>Table156789131419[[#This Row],[Full Name]]</f>
        <v>0</v>
      </c>
      <c r="B19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19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19" s="7" t="str">
        <f>IF(Table156789131419[[#This Row],[Category]]="","",IF(Table156789131419[[#This Row],[Category]]="M",COUNTIF($I$2:$I19,"M"),IF(Table156789131419[[#This Row],[Category]]="F",COUNTIF($I$2:$I19,"F"),0)))</f>
        <v/>
      </c>
      <c r="E19" s="34"/>
      <c r="F19" s="56"/>
      <c r="G19" s="36"/>
      <c r="H19" s="36"/>
      <c r="I19" s="37"/>
    </row>
    <row r="20" spans="1:9" x14ac:dyDescent="0.25">
      <c r="A20" s="27">
        <f>Table156789131419[[#This Row],[Full Name]]</f>
        <v>0</v>
      </c>
      <c r="B20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0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0" s="7" t="str">
        <f>IF(Table156789131419[[#This Row],[Category]]="","",IF(Table156789131419[[#This Row],[Category]]="M",COUNTIF($I$2:$I20,"M"),IF(Table156789131419[[#This Row],[Category]]="F",COUNTIF($I$2:$I20,"F"),0)))</f>
        <v/>
      </c>
      <c r="E20" s="34"/>
      <c r="F20" s="56"/>
      <c r="G20" s="36"/>
      <c r="H20" s="36"/>
      <c r="I20" s="37"/>
    </row>
    <row r="21" spans="1:9" x14ac:dyDescent="0.25">
      <c r="A21" s="27">
        <f>Table156789131419[[#This Row],[Full Name]]</f>
        <v>0</v>
      </c>
      <c r="B21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1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1" s="7" t="str">
        <f>IF(Table156789131419[[#This Row],[Category]]="","",IF(Table156789131419[[#This Row],[Category]]="M",COUNTIF($I$2:$I21,"M"),IF(Table156789131419[[#This Row],[Category]]="F",COUNTIF($I$2:$I21,"F"),0)))</f>
        <v/>
      </c>
      <c r="E21" s="34"/>
      <c r="F21" s="56"/>
      <c r="G21" s="36"/>
      <c r="H21" s="36"/>
      <c r="I21" s="37"/>
    </row>
    <row r="22" spans="1:9" x14ac:dyDescent="0.25">
      <c r="A22" s="27">
        <f>Table156789131419[[#This Row],[Full Name]]</f>
        <v>0</v>
      </c>
      <c r="B22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2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2" s="7" t="str">
        <f>IF(Table156789131419[[#This Row],[Category]]="","",IF(Table156789131419[[#This Row],[Category]]="M",COUNTIF($I$2:$I22,"M"),IF(Table156789131419[[#This Row],[Category]]="F",COUNTIF($I$2:$I22,"F"),0)))</f>
        <v/>
      </c>
      <c r="E22" s="34"/>
      <c r="F22" s="56"/>
      <c r="G22" s="36"/>
      <c r="H22" s="36"/>
      <c r="I22" s="37"/>
    </row>
    <row r="23" spans="1:9" x14ac:dyDescent="0.25">
      <c r="A23" s="27">
        <f>Table156789131419[[#This Row],[Full Name]]</f>
        <v>0</v>
      </c>
      <c r="B23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3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3" s="7" t="str">
        <f>IF(Table156789131419[[#This Row],[Category]]="","",IF(Table156789131419[[#This Row],[Category]]="M",COUNTIF($I$2:$I23,"M"),IF(Table156789131419[[#This Row],[Category]]="F",COUNTIF($I$2:$I23,"F"),0)))</f>
        <v/>
      </c>
      <c r="E23" s="34"/>
      <c r="F23" s="56"/>
      <c r="G23" s="36"/>
      <c r="H23" s="36"/>
      <c r="I23" s="37"/>
    </row>
    <row r="24" spans="1:9" x14ac:dyDescent="0.25">
      <c r="A24" s="27">
        <f>Table156789131419[[#This Row],[Full Name]]</f>
        <v>0</v>
      </c>
      <c r="B24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4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4" s="7" t="str">
        <f>IF(Table156789131419[[#This Row],[Category]]="","",IF(Table156789131419[[#This Row],[Category]]="M",COUNTIF($I$2:$I24,"M"),IF(Table156789131419[[#This Row],[Category]]="F",COUNTIF($I$2:$I24,"F"),0)))</f>
        <v/>
      </c>
      <c r="E24" s="34"/>
      <c r="F24" s="56"/>
      <c r="G24" s="36"/>
      <c r="H24" s="36"/>
      <c r="I24" s="37"/>
    </row>
    <row r="25" spans="1:9" x14ac:dyDescent="0.25">
      <c r="A25" s="27">
        <f>Table156789131419[[#This Row],[Full Name]]</f>
        <v>0</v>
      </c>
      <c r="B25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5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5" s="7" t="str">
        <f>IF(Table156789131419[[#This Row],[Category]]="","",IF(Table156789131419[[#This Row],[Category]]="M",COUNTIF($I$2:$I25,"M"),IF(Table156789131419[[#This Row],[Category]]="F",COUNTIF($I$2:$I25,"F"),0)))</f>
        <v/>
      </c>
      <c r="E25" s="34"/>
      <c r="F25" s="56"/>
      <c r="G25" s="36"/>
      <c r="H25" s="36"/>
      <c r="I25" s="37"/>
    </row>
    <row r="26" spans="1:9" x14ac:dyDescent="0.25">
      <c r="A26" s="27">
        <f>Table156789131419[[#This Row],[Full Name]]</f>
        <v>0</v>
      </c>
      <c r="B26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6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6" s="7" t="str">
        <f>IF(Table156789131419[[#This Row],[Category]]="","",IF(Table156789131419[[#This Row],[Category]]="M",COUNTIF($I$2:$I26,"M"),IF(Table156789131419[[#This Row],[Category]]="F",COUNTIF($I$2:$I26,"F"),0)))</f>
        <v/>
      </c>
      <c r="E26" s="34"/>
      <c r="F26" s="56"/>
      <c r="G26" s="36"/>
      <c r="H26" s="36"/>
      <c r="I26" s="37"/>
    </row>
    <row r="27" spans="1:9" x14ac:dyDescent="0.25">
      <c r="A27" s="27">
        <f>Table156789131419[[#This Row],[Full Name]]</f>
        <v>0</v>
      </c>
      <c r="B27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7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7" s="7" t="str">
        <f>IF(Table156789131419[[#This Row],[Category]]="","",IF(Table156789131419[[#This Row],[Category]]="M",COUNTIF($I$2:$I27,"M"),IF(Table156789131419[[#This Row],[Category]]="F",COUNTIF($I$2:$I27,"F"),0)))</f>
        <v/>
      </c>
      <c r="E27" s="34"/>
      <c r="F27" s="56"/>
      <c r="G27" s="36"/>
      <c r="H27" s="36"/>
      <c r="I27" s="37"/>
    </row>
    <row r="28" spans="1:9" x14ac:dyDescent="0.25">
      <c r="A28" s="27">
        <f>Table156789131419[[#This Row],[Full Name]]</f>
        <v>0</v>
      </c>
      <c r="B28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8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8" s="7" t="str">
        <f>IF(Table156789131419[[#This Row],[Category]]="","",IF(Table156789131419[[#This Row],[Category]]="M",COUNTIF($I$2:$I28,"M"),IF(Table156789131419[[#This Row],[Category]]="F",COUNTIF($I$2:$I28,"F"),0)))</f>
        <v/>
      </c>
      <c r="E28" s="34"/>
      <c r="F28" s="56"/>
      <c r="G28" s="36"/>
      <c r="H28" s="36"/>
      <c r="I28" s="37"/>
    </row>
    <row r="29" spans="1:9" x14ac:dyDescent="0.25">
      <c r="A29" s="27">
        <f>Table156789131419[[#This Row],[Full Name]]</f>
        <v>0</v>
      </c>
      <c r="B29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29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29" s="7" t="str">
        <f>IF(Table156789131419[[#This Row],[Category]]="","",IF(Table156789131419[[#This Row],[Category]]="M",COUNTIF($I$2:$I29,"M"),IF(Table156789131419[[#This Row],[Category]]="F",COUNTIF($I$2:$I29,"F"),0)))</f>
        <v/>
      </c>
      <c r="E29" s="34"/>
      <c r="F29" s="56"/>
      <c r="G29" s="36"/>
      <c r="H29" s="36"/>
      <c r="I29" s="37"/>
    </row>
    <row r="30" spans="1:9" x14ac:dyDescent="0.25">
      <c r="A30" s="27">
        <f>Table156789131419[[#This Row],[Full Name]]</f>
        <v>0</v>
      </c>
      <c r="B30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0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0" s="7" t="str">
        <f>IF(Table156789131419[[#This Row],[Category]]="","",IF(Table156789131419[[#This Row],[Category]]="M",COUNTIF($I$2:$I30,"M"),IF(Table156789131419[[#This Row],[Category]]="F",COUNTIF($I$2:$I30,"F"),0)))</f>
        <v/>
      </c>
      <c r="E30" s="34"/>
      <c r="F30" s="56"/>
      <c r="G30" s="36"/>
      <c r="H30" s="36"/>
      <c r="I30" s="37"/>
    </row>
    <row r="31" spans="1:9" x14ac:dyDescent="0.25">
      <c r="A31" s="27">
        <f>Table156789131419[[#This Row],[Full Name]]</f>
        <v>0</v>
      </c>
      <c r="B31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1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1" s="7" t="str">
        <f>IF(Table156789131419[[#This Row],[Category]]="","",IF(Table156789131419[[#This Row],[Category]]="M",COUNTIF($I$2:$I31,"M"),IF(Table156789131419[[#This Row],[Category]]="F",COUNTIF($I$2:$I31,"F"),0)))</f>
        <v/>
      </c>
      <c r="E31" s="34"/>
      <c r="F31" s="56"/>
      <c r="G31" s="36"/>
      <c r="H31" s="36"/>
      <c r="I31" s="37"/>
    </row>
    <row r="32" spans="1:9" x14ac:dyDescent="0.25">
      <c r="A32" s="27">
        <f>Table156789131419[[#This Row],[Full Name]]</f>
        <v>0</v>
      </c>
      <c r="B32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2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2" s="7" t="str">
        <f>IF(Table156789131419[[#This Row],[Category]]="","",IF(Table156789131419[[#This Row],[Category]]="M",COUNTIF($I$2:$I32,"M"),IF(Table156789131419[[#This Row],[Category]]="F",COUNTIF($I$2:$I32,"F"),0)))</f>
        <v/>
      </c>
      <c r="E32" s="34"/>
      <c r="F32" s="56"/>
      <c r="G32" s="36"/>
      <c r="H32" s="36"/>
      <c r="I32" s="37"/>
    </row>
    <row r="33" spans="1:9" x14ac:dyDescent="0.25">
      <c r="A33" s="27">
        <f>Table156789131419[[#This Row],[Full Name]]</f>
        <v>0</v>
      </c>
      <c r="B33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3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3" s="7" t="str">
        <f>IF(Table156789131419[[#This Row],[Category]]="","",IF(Table156789131419[[#This Row],[Category]]="M",COUNTIF($I$2:$I33,"M"),IF(Table156789131419[[#This Row],[Category]]="F",COUNTIF($I$2:$I33,"F"),0)))</f>
        <v/>
      </c>
      <c r="E33" s="34"/>
      <c r="F33" s="56"/>
      <c r="G33" s="36"/>
      <c r="H33" s="36"/>
      <c r="I33" s="37"/>
    </row>
    <row r="34" spans="1:9" x14ac:dyDescent="0.25">
      <c r="A34" s="27">
        <f>Table156789131419[[#This Row],[Full Name]]</f>
        <v>0</v>
      </c>
      <c r="B34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4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4" s="7" t="str">
        <f>IF(Table156789131419[[#This Row],[Category]]="","",IF(Table156789131419[[#This Row],[Category]]="M",COUNTIF($I$2:$I34,"M"),IF(Table156789131419[[#This Row],[Category]]="F",COUNTIF($I$2:$I34,"F"),0)))</f>
        <v/>
      </c>
      <c r="E34" s="34"/>
      <c r="F34" s="56"/>
      <c r="G34" s="36"/>
      <c r="H34" s="36"/>
      <c r="I34" s="37"/>
    </row>
    <row r="35" spans="1:9" x14ac:dyDescent="0.25">
      <c r="A35" s="27">
        <f>Table156789131419[[#This Row],[Full Name]]</f>
        <v>0</v>
      </c>
      <c r="B35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5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5" s="7" t="str">
        <f>IF(Table156789131419[[#This Row],[Category]]="","",IF(Table156789131419[[#This Row],[Category]]="M",COUNTIF($I$2:$I35,"M"),IF(Table156789131419[[#This Row],[Category]]="F",COUNTIF($I$2:$I35,"F"),0)))</f>
        <v/>
      </c>
      <c r="E35" s="34"/>
      <c r="F35" s="56"/>
      <c r="G35" s="36"/>
      <c r="H35" s="36"/>
      <c r="I35" s="37"/>
    </row>
    <row r="36" spans="1:9" x14ac:dyDescent="0.25">
      <c r="A36" s="27">
        <f>Table156789131419[[#This Row],[Full Name]]</f>
        <v>0</v>
      </c>
      <c r="B36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6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6" s="7" t="str">
        <f>IF(Table156789131419[[#This Row],[Category]]="","",IF(Table156789131419[[#This Row],[Category]]="M",COUNTIF($I$2:$I36,"M"),IF(Table156789131419[[#This Row],[Category]]="F",COUNTIF($I$2:$I36,"F"),0)))</f>
        <v/>
      </c>
      <c r="E36" s="34"/>
      <c r="F36" s="56"/>
      <c r="G36" s="36"/>
      <c r="H36" s="36"/>
      <c r="I36" s="37"/>
    </row>
    <row r="37" spans="1:9" x14ac:dyDescent="0.25">
      <c r="A37" s="27">
        <f>Table156789131419[[#This Row],[Full Name]]</f>
        <v>0</v>
      </c>
      <c r="B37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7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7" s="7" t="str">
        <f>IF(Table156789131419[[#This Row],[Category]]="","",IF(Table156789131419[[#This Row],[Category]]="M",COUNTIF($I$2:$I37,"M"),IF(Table156789131419[[#This Row],[Category]]="F",COUNTIF($I$2:$I37,"F"),0)))</f>
        <v/>
      </c>
      <c r="E37" s="34"/>
      <c r="F37" s="56"/>
      <c r="G37" s="36"/>
      <c r="H37" s="36"/>
      <c r="I37" s="37"/>
    </row>
    <row r="38" spans="1:9" x14ac:dyDescent="0.25">
      <c r="A38" s="27">
        <f>Table156789131419[[#This Row],[Full Name]]</f>
        <v>0</v>
      </c>
      <c r="B38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8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8" s="7" t="str">
        <f>IF(Table156789131419[[#This Row],[Category]]="","",IF(Table156789131419[[#This Row],[Category]]="M",COUNTIF($I$2:$I38,"M"),IF(Table156789131419[[#This Row],[Category]]="F",COUNTIF($I$2:$I38,"F"),0)))</f>
        <v/>
      </c>
      <c r="E38" s="34"/>
      <c r="F38" s="56"/>
      <c r="G38" s="36"/>
      <c r="H38" s="36"/>
      <c r="I38" s="37"/>
    </row>
    <row r="39" spans="1:9" x14ac:dyDescent="0.25">
      <c r="A39" s="27">
        <f>Table156789131419[[#This Row],[Full Name]]</f>
        <v>0</v>
      </c>
      <c r="B39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39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39" s="7" t="str">
        <f>IF(Table156789131419[[#This Row],[Category]]="","",IF(Table156789131419[[#This Row],[Category]]="M",COUNTIF($I$2:$I39,"M"),IF(Table156789131419[[#This Row],[Category]]="F",COUNTIF($I$2:$I39,"F"),0)))</f>
        <v/>
      </c>
      <c r="E39" s="34"/>
      <c r="F39" s="56"/>
      <c r="G39" s="36"/>
      <c r="H39" s="36"/>
      <c r="I39" s="37"/>
    </row>
    <row r="40" spans="1:9" x14ac:dyDescent="0.25">
      <c r="A40" s="27">
        <f>Table156789131419[[#This Row],[Full Name]]</f>
        <v>0</v>
      </c>
      <c r="B40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0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0" s="7" t="str">
        <f>IF(Table156789131419[[#This Row],[Category]]="","",IF(Table156789131419[[#This Row],[Category]]="M",COUNTIF($I$2:$I40,"M"),IF(Table156789131419[[#This Row],[Category]]="F",COUNTIF($I$2:$I40,"F"),0)))</f>
        <v/>
      </c>
      <c r="E40" s="34"/>
      <c r="F40" s="56"/>
      <c r="G40" s="36"/>
      <c r="H40" s="36"/>
      <c r="I40" s="37"/>
    </row>
    <row r="41" spans="1:9" x14ac:dyDescent="0.25">
      <c r="A41" s="27">
        <f>Table156789131419[[#This Row],[Full Name]]</f>
        <v>0</v>
      </c>
      <c r="B41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1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1" s="7" t="str">
        <f>IF(Table156789131419[[#This Row],[Category]]="","",IF(Table156789131419[[#This Row],[Category]]="M",COUNTIF($I$2:$I41,"M"),IF(Table156789131419[[#This Row],[Category]]="F",COUNTIF($I$2:$I41,"F"),0)))</f>
        <v/>
      </c>
      <c r="E41" s="34"/>
      <c r="F41" s="56"/>
      <c r="G41" s="36"/>
      <c r="H41" s="36"/>
      <c r="I41" s="37"/>
    </row>
    <row r="42" spans="1:9" x14ac:dyDescent="0.25">
      <c r="A42" s="27">
        <f>Table156789131419[[#This Row],[Full Name]]</f>
        <v>0</v>
      </c>
      <c r="B42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2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2" s="7" t="str">
        <f>IF(Table156789131419[[#This Row],[Category]]="","",IF(Table156789131419[[#This Row],[Category]]="M",COUNTIF($I$2:$I42,"M"),IF(Table156789131419[[#This Row],[Category]]="F",COUNTIF($I$2:$I42,"F"),0)))</f>
        <v/>
      </c>
      <c r="E42" s="34"/>
      <c r="F42" s="56"/>
      <c r="G42" s="36"/>
      <c r="H42" s="36"/>
      <c r="I42" s="37"/>
    </row>
    <row r="43" spans="1:9" x14ac:dyDescent="0.25">
      <c r="A43" s="27">
        <f>Table156789131419[[#This Row],[Full Name]]</f>
        <v>0</v>
      </c>
      <c r="B43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3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3" s="7" t="str">
        <f>IF(Table156789131419[[#This Row],[Category]]="","",IF(Table156789131419[[#This Row],[Category]]="M",COUNTIF($I$2:$I43,"M"),IF(Table156789131419[[#This Row],[Category]]="F",COUNTIF($I$2:$I43,"F"),0)))</f>
        <v/>
      </c>
      <c r="E43" s="34"/>
      <c r="F43" s="56"/>
      <c r="G43" s="36"/>
      <c r="H43" s="36"/>
      <c r="I43" s="37"/>
    </row>
    <row r="44" spans="1:9" x14ac:dyDescent="0.25">
      <c r="A44" s="27">
        <f>Table156789131419[[#This Row],[Full Name]]</f>
        <v>0</v>
      </c>
      <c r="B44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4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4" s="7" t="str">
        <f>IF(Table156789131419[[#This Row],[Category]]="","",IF(Table156789131419[[#This Row],[Category]]="M",COUNTIF($I$2:$I44,"M"),IF(Table156789131419[[#This Row],[Category]]="F",COUNTIF($I$2:$I44,"F"),0)))</f>
        <v/>
      </c>
      <c r="E44" s="34"/>
      <c r="F44" s="56"/>
      <c r="G44" s="36"/>
      <c r="H44" s="36"/>
      <c r="I44" s="37"/>
    </row>
    <row r="45" spans="1:9" x14ac:dyDescent="0.25">
      <c r="A45" s="27">
        <f>Table156789131419[[#This Row],[Full Name]]</f>
        <v>0</v>
      </c>
      <c r="B45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5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5" s="7" t="str">
        <f>IF(Table156789131419[[#This Row],[Category]]="","",IF(Table156789131419[[#This Row],[Category]]="M",COUNTIF($I$2:$I45,"M"),IF(Table156789131419[[#This Row],[Category]]="F",COUNTIF($I$2:$I45,"F"),0)))</f>
        <v/>
      </c>
      <c r="E45" s="34"/>
      <c r="F45" s="56"/>
      <c r="G45" s="36"/>
      <c r="H45" s="36"/>
      <c r="I45" s="37"/>
    </row>
    <row r="46" spans="1:9" x14ac:dyDescent="0.25">
      <c r="A46" s="27">
        <f>Table156789131419[[#This Row],[Full Name]]</f>
        <v>0</v>
      </c>
      <c r="B46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6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6" s="7" t="str">
        <f>IF(Table156789131419[[#This Row],[Category]]="","",IF(Table156789131419[[#This Row],[Category]]="M",COUNTIF($I$2:$I46,"M"),IF(Table156789131419[[#This Row],[Category]]="F",COUNTIF($I$2:$I46,"F"),0)))</f>
        <v/>
      </c>
      <c r="E46" s="34"/>
      <c r="F46" s="56"/>
      <c r="G46" s="36"/>
      <c r="H46" s="36"/>
      <c r="I46" s="37"/>
    </row>
    <row r="47" spans="1:9" x14ac:dyDescent="0.25">
      <c r="A47" s="27">
        <f>Table156789131419[[#This Row],[Full Name]]</f>
        <v>0</v>
      </c>
      <c r="B47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7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7" s="7" t="str">
        <f>IF(Table156789131419[[#This Row],[Category]]="","",IF(Table156789131419[[#This Row],[Category]]="M",COUNTIF($I$2:$I47,"M"),IF(Table156789131419[[#This Row],[Category]]="F",COUNTIF($I$2:$I47,"F"),0)))</f>
        <v/>
      </c>
      <c r="E47" s="34"/>
      <c r="F47" s="56"/>
      <c r="G47" s="36"/>
      <c r="H47" s="36"/>
      <c r="I47" s="37"/>
    </row>
    <row r="48" spans="1:9" x14ac:dyDescent="0.25">
      <c r="A48" s="27">
        <f>Table156789131419[[#This Row],[Full Name]]</f>
        <v>0</v>
      </c>
      <c r="B48" s="29" t="str">
        <f>IF(Table156789131419[[#This Row],[Full Name]]="","",IF(IFERROR(IFERROR(VLOOKUP(Table156789131419[[#This Row],[Full Name]],'Mens League'!B:B,1,FALSE),VLOOKUP(Table156789131419[[#This Row],[Full Name]],'Women''s League'!B:B,1,FALSE)),"NEEDS ADDING")="NEEDS ADDING","NEEDS ADDING","OK"))</f>
        <v/>
      </c>
      <c r="C48" s="29" t="str">
        <f>IF(Table156789131419[[#This Row],[Position]]="","",IF(Table156789131419[[#This Row],[Rank]]=1,30,IF(Table156789131419[[#This Row],[Rank]]=2,29,IF(Table156789131419[[#This Row],[Rank]]=3,28,IF(Table156789131419[[#This Row],[Rank]]=4,27,IF(Table156789131419[[#This Row],[Rank]]=5,26,IF(Table156789131419[[#This Row],[Rank]]=6,25,IF(Table156789131419[[#This Row],[Rank]]=7,24,IF(Table156789131419[[#This Row],[Rank]]=8,23,IF(Table156789131419[[#This Row],[Rank]]=9,22,IF(Table156789131419[[#This Row],[Rank]]=10,21,IF(Table156789131419[[#This Row],[Rank]]=11,20,IF(Table156789131419[[#This Row],[Rank]]=12,19,IF(Table156789131419[[#This Row],[Rank]]=13,18,IF(Table156789131419[[#This Row],[Rank]]=14,17,IF(Table156789131419[[#This Row],[Rank]]=15,16,IF(Table156789131419[[#This Row],[Rank]]=16,15,IF(Table156789131419[[#This Row],[Rank]]=17,14,IF(Table156789131419[[#This Row],[Rank]]=18,13,IF(Table156789131419[[#This Row],[Rank]]=19,12,IF(Table156789131419[[#This Row],[Rank]]=20,11,IF(Table156789131419[[#This Row],[Rank]]=21,10,IF(Table156789131419[[#This Row],[Rank]]=22,9,IF(Table156789131419[[#This Row],[Rank]]=23,8,IF(Table156789131419[[#This Row],[Rank]]=24,7,IF(Table156789131419[[#This Row],[Rank]]=25,6,IF(Table156789131419[[#This Row],[Rank]]=26,5,IF(Table156789131419[[#This Row],[Rank]]=27,4,IF(Table156789131419[[#This Row],[Rank]]=28,3,IF(Table156789131419[[#This Row],[Rank]]=29,2,IF(Table156789131419[[#This Row],[Rank]]=30,1,0)))))))))))))))))))))))))))))))</f>
        <v/>
      </c>
      <c r="D48" s="7" t="str">
        <f>IF(Table156789131419[[#This Row],[Category]]="","",IF(Table156789131419[[#This Row],[Category]]="M",COUNTIF($I$2:$I48,"M"),IF(Table156789131419[[#This Row],[Category]]="F",COUNTIF($I$2:$I48,"F"),0)))</f>
        <v/>
      </c>
      <c r="E48" s="34"/>
      <c r="F48" s="56"/>
      <c r="G48" s="36"/>
      <c r="H48" s="36"/>
      <c r="I48" s="37"/>
    </row>
  </sheetData>
  <phoneticPr fontId="11" type="noConversion"/>
  <conditionalFormatting sqref="B2:B48">
    <cfRule type="containsText" dxfId="13" priority="1" operator="containsText" text="OK">
      <formula>NOT(ISERROR(SEARCH("OK",B2)))</formula>
    </cfRule>
    <cfRule type="containsText" dxfId="12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5D4-8301-4578-B803-0C5C56305013}">
  <sheetPr>
    <tabColor rgb="FF00B0F0"/>
  </sheetPr>
  <dimension ref="A1:I48"/>
  <sheetViews>
    <sheetView topLeftCell="B1" workbookViewId="0">
      <selection activeCell="N12" sqref="N12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Table15678913141920[[#This Row],[Full Name]]</f>
        <v>SIDANI, Ramzi</v>
      </c>
      <c r="B2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2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30</v>
      </c>
      <c r="D2" s="7">
        <f>IF(Table15678913141920[[#This Row],[Category]]="","",IF(Table15678913141920[[#This Row],[Category]]="M",COUNTIF($I$2:$I2,"M"),IF(Table15678913141920[[#This Row],[Category]]="F",COUNTIF($I$2:$I2,"F"),0)))</f>
        <v>1</v>
      </c>
      <c r="E2" s="34">
        <v>12</v>
      </c>
      <c r="F2" s="35">
        <v>2.6909722222222224E-2</v>
      </c>
      <c r="G2" s="36" t="s">
        <v>315</v>
      </c>
      <c r="H2" s="36" t="s">
        <v>1</v>
      </c>
      <c r="I2" s="37" t="s">
        <v>146</v>
      </c>
    </row>
    <row r="3" spans="1:9" x14ac:dyDescent="0.25">
      <c r="A3" s="26" t="str">
        <f>Table15678913141920[[#This Row],[Full Name]]</f>
        <v>DUNNING, Phil</v>
      </c>
      <c r="B3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3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29</v>
      </c>
      <c r="D3" s="7">
        <f>IF(Table15678913141920[[#This Row],[Category]]="","",IF(Table15678913141920[[#This Row],[Category]]="M",COUNTIF($I$2:$I3,"M"),IF(Table15678913141920[[#This Row],[Category]]="F",COUNTIF($I$2:$I3,"F"),0)))</f>
        <v>2</v>
      </c>
      <c r="E3" s="34">
        <v>19</v>
      </c>
      <c r="F3" s="35">
        <v>2.7430555555555555E-2</v>
      </c>
      <c r="G3" s="36" t="s">
        <v>320</v>
      </c>
      <c r="H3" s="36" t="s">
        <v>227</v>
      </c>
      <c r="I3" s="37" t="s">
        <v>146</v>
      </c>
    </row>
    <row r="4" spans="1:9" x14ac:dyDescent="0.25">
      <c r="A4" s="26" t="str">
        <f>Table15678913141920[[#This Row],[Full Name]]</f>
        <v>PLEASS, Matt</v>
      </c>
      <c r="B4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4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28</v>
      </c>
      <c r="D4" s="7">
        <f>IF(Table15678913141920[[#This Row],[Category]]="","",IF(Table15678913141920[[#This Row],[Category]]="M",COUNTIF($I$2:$I4,"M"),IF(Table15678913141920[[#This Row],[Category]]="F",COUNTIF($I$2:$I4,"F"),0)))</f>
        <v>3</v>
      </c>
      <c r="E4" s="34">
        <v>40</v>
      </c>
      <c r="F4" s="35">
        <v>2.9409722222222223E-2</v>
      </c>
      <c r="G4" s="36" t="s">
        <v>229</v>
      </c>
      <c r="H4" s="36" t="s">
        <v>69</v>
      </c>
      <c r="I4" s="37" t="s">
        <v>146</v>
      </c>
    </row>
    <row r="5" spans="1:9" x14ac:dyDescent="0.25">
      <c r="A5" s="26" t="str">
        <f>Table15678913141920[[#This Row],[Full Name]]</f>
        <v>GILES, George</v>
      </c>
      <c r="B5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5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27</v>
      </c>
      <c r="D5" s="7">
        <f>IF(Table15678913141920[[#This Row],[Category]]="","",IF(Table15678913141920[[#This Row],[Category]]="M",COUNTIF($I$2:$I5,"M"),IF(Table15678913141920[[#This Row],[Category]]="F",COUNTIF($I$2:$I5,"F"),0)))</f>
        <v>4</v>
      </c>
      <c r="E5" s="34">
        <v>58</v>
      </c>
      <c r="F5" s="35">
        <v>3.0324074074074073E-2</v>
      </c>
      <c r="G5" s="36" t="s">
        <v>329</v>
      </c>
      <c r="H5" s="36" t="s">
        <v>128</v>
      </c>
      <c r="I5" s="37" t="s">
        <v>146</v>
      </c>
    </row>
    <row r="6" spans="1:9" x14ac:dyDescent="0.25">
      <c r="A6" s="26" t="str">
        <f>Table15678913141920[[#This Row],[Full Name]]</f>
        <v>HORN, Patrick</v>
      </c>
      <c r="B6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6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26</v>
      </c>
      <c r="D6" s="7">
        <f>IF(Table15678913141920[[#This Row],[Category]]="","",IF(Table15678913141920[[#This Row],[Category]]="M",COUNTIF($I$2:$I6,"M"),IF(Table15678913141920[[#This Row],[Category]]="F",COUNTIF($I$2:$I6,"F"),0)))</f>
        <v>5</v>
      </c>
      <c r="E6" s="34">
        <v>62</v>
      </c>
      <c r="F6" s="35">
        <v>3.0416666666666668E-2</v>
      </c>
      <c r="G6" s="36" t="s">
        <v>230</v>
      </c>
      <c r="H6" s="36" t="s">
        <v>46</v>
      </c>
      <c r="I6" s="37" t="s">
        <v>146</v>
      </c>
    </row>
    <row r="7" spans="1:9" x14ac:dyDescent="0.25">
      <c r="A7" s="26" t="str">
        <f>Table15678913141920[[#This Row],[Full Name]]</f>
        <v>ALLSOP, Andrew</v>
      </c>
      <c r="B7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7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25</v>
      </c>
      <c r="D7" s="7">
        <f>IF(Table15678913141920[[#This Row],[Category]]="","",IF(Table15678913141920[[#This Row],[Category]]="M",COUNTIF($I$2:$I7,"M"),IF(Table15678913141920[[#This Row],[Category]]="F",COUNTIF($I$2:$I7,"F"),0)))</f>
        <v>6</v>
      </c>
      <c r="E7" s="34">
        <v>87</v>
      </c>
      <c r="F7" s="35">
        <v>3.1736111111111111E-2</v>
      </c>
      <c r="G7" s="36" t="s">
        <v>407</v>
      </c>
      <c r="H7" s="36" t="s">
        <v>177</v>
      </c>
      <c r="I7" s="37" t="s">
        <v>146</v>
      </c>
    </row>
    <row r="8" spans="1:9" x14ac:dyDescent="0.25">
      <c r="A8" s="26" t="str">
        <f>Table15678913141920[[#This Row],[Full Name]]</f>
        <v>CAIN, James</v>
      </c>
      <c r="B8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8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24</v>
      </c>
      <c r="D8" s="7">
        <f>IF(Table15678913141920[[#This Row],[Category]]="","",IF(Table15678913141920[[#This Row],[Category]]="M",COUNTIF($I$2:$I8,"M"),IF(Table15678913141920[[#This Row],[Category]]="F",COUNTIF($I$2:$I8,"F"),0)))</f>
        <v>7</v>
      </c>
      <c r="E8" s="34">
        <v>91</v>
      </c>
      <c r="F8" s="35">
        <v>3.2002314814814817E-2</v>
      </c>
      <c r="G8" s="36" t="s">
        <v>193</v>
      </c>
      <c r="H8" s="36" t="s">
        <v>119</v>
      </c>
      <c r="I8" s="37" t="s">
        <v>146</v>
      </c>
    </row>
    <row r="9" spans="1:9" x14ac:dyDescent="0.25">
      <c r="A9" s="26" t="str">
        <f>Table15678913141920[[#This Row],[Full Name]]</f>
        <v>SMITH, Victoria</v>
      </c>
      <c r="B9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9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30</v>
      </c>
      <c r="D9" s="7">
        <f>IF(Table15678913141920[[#This Row],[Category]]="","",IF(Table15678913141920[[#This Row],[Category]]="M",COUNTIF($I$2:$I9,"M"),IF(Table15678913141920[[#This Row],[Category]]="F",COUNTIF($I$2:$I9,"F"),0)))</f>
        <v>1</v>
      </c>
      <c r="E9" s="34">
        <v>149</v>
      </c>
      <c r="F9" s="35">
        <v>3.394675925925926E-2</v>
      </c>
      <c r="G9" s="36" t="s">
        <v>246</v>
      </c>
      <c r="H9" s="36" t="s">
        <v>41</v>
      </c>
      <c r="I9" s="37" t="s">
        <v>156</v>
      </c>
    </row>
    <row r="10" spans="1:9" x14ac:dyDescent="0.25">
      <c r="A10" s="26" t="str">
        <f>Table15678913141920[[#This Row],[Full Name]]</f>
        <v>SIDANI, Bethany</v>
      </c>
      <c r="B10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10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29</v>
      </c>
      <c r="D10" s="7">
        <f>IF(Table15678913141920[[#This Row],[Category]]="","",IF(Table15678913141920[[#This Row],[Category]]="M",COUNTIF($I$2:$I10,"M"),IF(Table15678913141920[[#This Row],[Category]]="F",COUNTIF($I$2:$I10,"F"),0)))</f>
        <v>2</v>
      </c>
      <c r="E10" s="34">
        <v>188</v>
      </c>
      <c r="F10" s="35">
        <v>3.5138888888888886E-2</v>
      </c>
      <c r="G10" s="36" t="s">
        <v>199</v>
      </c>
      <c r="H10" s="36" t="s">
        <v>238</v>
      </c>
      <c r="I10" s="37" t="s">
        <v>156</v>
      </c>
    </row>
    <row r="11" spans="1:9" x14ac:dyDescent="0.25">
      <c r="A11" s="26" t="str">
        <f>Table15678913141920[[#This Row],[Full Name]]</f>
        <v>TURNER, Sophie</v>
      </c>
      <c r="B11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11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28</v>
      </c>
      <c r="D11" s="7">
        <f>IF(Table15678913141920[[#This Row],[Category]]="","",IF(Table15678913141920[[#This Row],[Category]]="M",COUNTIF($I$2:$I11,"M"),IF(Table15678913141920[[#This Row],[Category]]="F",COUNTIF($I$2:$I11,"F"),0)))</f>
        <v>3</v>
      </c>
      <c r="E11" s="34">
        <v>278</v>
      </c>
      <c r="F11" s="35">
        <v>3.784722222222222E-2</v>
      </c>
      <c r="G11" s="36" t="s">
        <v>409</v>
      </c>
      <c r="H11" s="36" t="s">
        <v>127</v>
      </c>
      <c r="I11" s="37" t="s">
        <v>156</v>
      </c>
    </row>
    <row r="12" spans="1:9" x14ac:dyDescent="0.25">
      <c r="A12" s="26" t="str">
        <f>Table15678913141920[[#This Row],[Full Name]]</f>
        <v>LEWIS, Sarah</v>
      </c>
      <c r="B12" s="28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12" s="28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27</v>
      </c>
      <c r="D12" s="7">
        <f>IF(Table15678913141920[[#This Row],[Category]]="","",IF(Table15678913141920[[#This Row],[Category]]="M",COUNTIF($I$2:$I12,"M"),IF(Table15678913141920[[#This Row],[Category]]="F",COUNTIF($I$2:$I12,"F"),0)))</f>
        <v>4</v>
      </c>
      <c r="E12" s="34">
        <v>317</v>
      </c>
      <c r="F12" s="35">
        <v>3.9166666666666669E-2</v>
      </c>
      <c r="G12" s="36" t="s">
        <v>150</v>
      </c>
      <c r="H12" s="36" t="s">
        <v>391</v>
      </c>
      <c r="I12" s="37" t="s">
        <v>156</v>
      </c>
    </row>
    <row r="13" spans="1:9" x14ac:dyDescent="0.25">
      <c r="A13" s="27" t="str">
        <f>Table15678913141920[[#This Row],[Full Name]]</f>
        <v>HEITMANN, Laura</v>
      </c>
      <c r="B13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13" s="29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26</v>
      </c>
      <c r="D13" s="7">
        <f>IF(Table15678913141920[[#This Row],[Category]]="","",IF(Table15678913141920[[#This Row],[Category]]="M",COUNTIF($I$2:$I13,"M"),IF(Table15678913141920[[#This Row],[Category]]="F",COUNTIF($I$2:$I13,"F"),0)))</f>
        <v>5</v>
      </c>
      <c r="E13" s="38">
        <v>461</v>
      </c>
      <c r="F13" s="39">
        <v>4.3576388888888887E-2</v>
      </c>
      <c r="G13" s="40" t="s">
        <v>410</v>
      </c>
      <c r="H13" s="40" t="s">
        <v>240</v>
      </c>
      <c r="I13" s="41" t="s">
        <v>156</v>
      </c>
    </row>
    <row r="14" spans="1:9" x14ac:dyDescent="0.25">
      <c r="A14" s="27" t="str">
        <f>Table15678913141920[[#This Row],[Full Name]]</f>
        <v>ATKINSON, Matt</v>
      </c>
      <c r="B14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>OK</v>
      </c>
      <c r="C14" s="29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>23</v>
      </c>
      <c r="D14" s="7">
        <f>IF(Table15678913141920[[#This Row],[Category]]="","",IF(Table15678913141920[[#This Row],[Category]]="M",COUNTIF($I$2:$I14,"M"),IF(Table15678913141920[[#This Row],[Category]]="F",COUNTIF($I$2:$I14,"F"),0)))</f>
        <v>8</v>
      </c>
      <c r="E14" s="34">
        <v>534</v>
      </c>
      <c r="F14" s="35">
        <v>4.5775462962962962E-2</v>
      </c>
      <c r="G14" s="36" t="s">
        <v>209</v>
      </c>
      <c r="H14" s="36" t="s">
        <v>244</v>
      </c>
      <c r="I14" s="37" t="s">
        <v>146</v>
      </c>
    </row>
    <row r="15" spans="1:9" x14ac:dyDescent="0.25">
      <c r="A15" s="27">
        <f>Table15678913141920[[#This Row],[Full Name]]</f>
        <v>0</v>
      </c>
      <c r="B15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5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5" s="7" t="str">
        <f>IF(Table15678913141920[[#This Row],[Category]]="","",IF(Table15678913141920[[#This Row],[Category]]="M",COUNTIF($I$2:$I15,"M"),IF(Table15678913141920[[#This Row],[Category]]="F",COUNTIF($I$2:$I15,"F"),0)))</f>
        <v/>
      </c>
      <c r="E15" s="34"/>
      <c r="F15" s="35"/>
      <c r="G15" s="36"/>
      <c r="H15" s="36"/>
      <c r="I15" s="37"/>
    </row>
    <row r="16" spans="1:9" x14ac:dyDescent="0.25">
      <c r="A16" s="27">
        <f>Table15678913141920[[#This Row],[Full Name]]</f>
        <v>0</v>
      </c>
      <c r="B16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6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6" s="7" t="str">
        <f>IF(Table15678913141920[[#This Row],[Category]]="","",IF(Table15678913141920[[#This Row],[Category]]="M",COUNTIF($I$2:$I16,"M"),IF(Table15678913141920[[#This Row],[Category]]="F",COUNTIF($I$2:$I16,"F"),0)))</f>
        <v/>
      </c>
      <c r="E16" s="34"/>
      <c r="F16" s="35"/>
      <c r="G16" s="36"/>
      <c r="H16" s="36"/>
      <c r="I16" s="37"/>
    </row>
    <row r="17" spans="1:9" x14ac:dyDescent="0.25">
      <c r="A17" s="27">
        <f>Table15678913141920[[#This Row],[Full Name]]</f>
        <v>0</v>
      </c>
      <c r="B17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7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7" s="7" t="str">
        <f>IF(Table15678913141920[[#This Row],[Category]]="","",IF(Table15678913141920[[#This Row],[Category]]="M",COUNTIF($I$2:$I17,"M"),IF(Table15678913141920[[#This Row],[Category]]="F",COUNTIF($I$2:$I17,"F"),0)))</f>
        <v/>
      </c>
      <c r="E17" s="34"/>
      <c r="F17" s="35"/>
      <c r="G17" s="36"/>
      <c r="H17" s="36"/>
      <c r="I17" s="37"/>
    </row>
    <row r="18" spans="1:9" x14ac:dyDescent="0.25">
      <c r="A18" s="27">
        <f>Table15678913141920[[#This Row],[Full Name]]</f>
        <v>0</v>
      </c>
      <c r="B18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8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8" s="7" t="str">
        <f>IF(Table15678913141920[[#This Row],[Category]]="","",IF(Table15678913141920[[#This Row],[Category]]="M",COUNTIF($I$2:$I18,"M"),IF(Table15678913141920[[#This Row],[Category]]="F",COUNTIF($I$2:$I18,"F"),0)))</f>
        <v/>
      </c>
      <c r="E18" s="34"/>
      <c r="F18" s="35"/>
      <c r="G18" s="36"/>
      <c r="H18" s="36"/>
      <c r="I18" s="37"/>
    </row>
    <row r="19" spans="1:9" x14ac:dyDescent="0.25">
      <c r="A19" s="27">
        <f>Table15678913141920[[#This Row],[Full Name]]</f>
        <v>0</v>
      </c>
      <c r="B19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19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19" s="7" t="str">
        <f>IF(Table15678913141920[[#This Row],[Category]]="","",IF(Table15678913141920[[#This Row],[Category]]="M",COUNTIF($I$2:$I19,"M"),IF(Table15678913141920[[#This Row],[Category]]="F",COUNTIF($I$2:$I19,"F"),0)))</f>
        <v/>
      </c>
      <c r="E19" s="34"/>
      <c r="F19" s="35"/>
      <c r="G19" s="36"/>
      <c r="H19" s="36"/>
      <c r="I19" s="37"/>
    </row>
    <row r="20" spans="1:9" x14ac:dyDescent="0.25">
      <c r="A20" s="27">
        <f>Table15678913141920[[#This Row],[Full Name]]</f>
        <v>0</v>
      </c>
      <c r="B20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0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0" s="7" t="str">
        <f>IF(Table15678913141920[[#This Row],[Category]]="","",IF(Table15678913141920[[#This Row],[Category]]="M",COUNTIF($I$2:$I20,"M"),IF(Table15678913141920[[#This Row],[Category]]="F",COUNTIF($I$2:$I20,"F"),0)))</f>
        <v/>
      </c>
      <c r="E20" s="34"/>
      <c r="F20" s="35"/>
      <c r="G20" s="36"/>
      <c r="H20" s="36"/>
      <c r="I20" s="37"/>
    </row>
    <row r="21" spans="1:9" x14ac:dyDescent="0.25">
      <c r="A21" s="27">
        <f>Table15678913141920[[#This Row],[Full Name]]</f>
        <v>0</v>
      </c>
      <c r="B21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1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1" s="7" t="str">
        <f>IF(Table15678913141920[[#This Row],[Category]]="","",IF(Table15678913141920[[#This Row],[Category]]="M",COUNTIF($I$2:$I21,"M"),IF(Table15678913141920[[#This Row],[Category]]="F",COUNTIF($I$2:$I21,"F"),0)))</f>
        <v/>
      </c>
      <c r="E21" s="34"/>
      <c r="F21" s="35"/>
      <c r="G21" s="36"/>
      <c r="H21" s="36"/>
      <c r="I21" s="37"/>
    </row>
    <row r="22" spans="1:9" x14ac:dyDescent="0.25">
      <c r="A22" s="27">
        <f>Table15678913141920[[#This Row],[Full Name]]</f>
        <v>0</v>
      </c>
      <c r="B22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2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2" s="7" t="str">
        <f>IF(Table15678913141920[[#This Row],[Category]]="","",IF(Table15678913141920[[#This Row],[Category]]="M",COUNTIF($I$2:$I22,"M"),IF(Table15678913141920[[#This Row],[Category]]="F",COUNTIF($I$2:$I22,"F"),0)))</f>
        <v/>
      </c>
      <c r="E22" s="34"/>
      <c r="F22" s="35"/>
      <c r="G22" s="36"/>
      <c r="H22" s="36"/>
      <c r="I22" s="37"/>
    </row>
    <row r="23" spans="1:9" x14ac:dyDescent="0.25">
      <c r="A23" s="27">
        <f>Table15678913141920[[#This Row],[Full Name]]</f>
        <v>0</v>
      </c>
      <c r="B23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3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3" s="7" t="str">
        <f>IF(Table15678913141920[[#This Row],[Category]]="","",IF(Table15678913141920[[#This Row],[Category]]="M",COUNTIF($I$2:$I23,"M"),IF(Table15678913141920[[#This Row],[Category]]="F",COUNTIF($I$2:$I23,"F"),0)))</f>
        <v/>
      </c>
      <c r="E23" s="34"/>
      <c r="F23" s="35"/>
      <c r="G23" s="36"/>
      <c r="H23" s="36"/>
      <c r="I23" s="37"/>
    </row>
    <row r="24" spans="1:9" x14ac:dyDescent="0.25">
      <c r="A24" s="27">
        <f>Table15678913141920[[#This Row],[Full Name]]</f>
        <v>0</v>
      </c>
      <c r="B24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4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4" s="7" t="str">
        <f>IF(Table15678913141920[[#This Row],[Category]]="","",IF(Table15678913141920[[#This Row],[Category]]="M",COUNTIF($I$2:$I24,"M"),IF(Table15678913141920[[#This Row],[Category]]="F",COUNTIF($I$2:$I24,"F"),0)))</f>
        <v/>
      </c>
      <c r="E24" s="34"/>
      <c r="F24" s="35"/>
      <c r="G24" s="36"/>
      <c r="H24" s="36"/>
      <c r="I24" s="37"/>
    </row>
    <row r="25" spans="1:9" x14ac:dyDescent="0.25">
      <c r="A25" s="27">
        <f>Table15678913141920[[#This Row],[Full Name]]</f>
        <v>0</v>
      </c>
      <c r="B25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5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5" s="7" t="str">
        <f>IF(Table15678913141920[[#This Row],[Category]]="","",IF(Table15678913141920[[#This Row],[Category]]="M",COUNTIF($I$2:$I25,"M"),IF(Table15678913141920[[#This Row],[Category]]="F",COUNTIF($I$2:$I25,"F"),0)))</f>
        <v/>
      </c>
      <c r="E25" s="34"/>
      <c r="F25" s="35"/>
      <c r="G25" s="36"/>
      <c r="H25" s="36"/>
      <c r="I25" s="37"/>
    </row>
    <row r="26" spans="1:9" x14ac:dyDescent="0.25">
      <c r="A26" s="27">
        <f>Table15678913141920[[#This Row],[Full Name]]</f>
        <v>0</v>
      </c>
      <c r="B26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6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6" s="7" t="str">
        <f>IF(Table15678913141920[[#This Row],[Category]]="","",IF(Table15678913141920[[#This Row],[Category]]="M",COUNTIF($I$2:$I26,"M"),IF(Table15678913141920[[#This Row],[Category]]="F",COUNTIF($I$2:$I26,"F"),0)))</f>
        <v/>
      </c>
      <c r="E26" s="34"/>
      <c r="F26" s="35"/>
      <c r="G26" s="36"/>
      <c r="H26" s="36"/>
      <c r="I26" s="37"/>
    </row>
    <row r="27" spans="1:9" x14ac:dyDescent="0.25">
      <c r="A27" s="27">
        <f>Table15678913141920[[#This Row],[Full Name]]</f>
        <v>0</v>
      </c>
      <c r="B27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7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7" s="7" t="str">
        <f>IF(Table15678913141920[[#This Row],[Category]]="","",IF(Table15678913141920[[#This Row],[Category]]="M",COUNTIF($I$2:$I27,"M"),IF(Table15678913141920[[#This Row],[Category]]="F",COUNTIF($I$2:$I27,"F"),0)))</f>
        <v/>
      </c>
      <c r="E27" s="34"/>
      <c r="F27" s="35"/>
      <c r="G27" s="36"/>
      <c r="H27" s="36"/>
      <c r="I27" s="37"/>
    </row>
    <row r="28" spans="1:9" x14ac:dyDescent="0.25">
      <c r="A28" s="27">
        <f>Table15678913141920[[#This Row],[Full Name]]</f>
        <v>0</v>
      </c>
      <c r="B28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8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8" s="7" t="str">
        <f>IF(Table15678913141920[[#This Row],[Category]]="","",IF(Table15678913141920[[#This Row],[Category]]="M",COUNTIF($I$2:$I28,"M"),IF(Table15678913141920[[#This Row],[Category]]="F",COUNTIF($I$2:$I28,"F"),0)))</f>
        <v/>
      </c>
      <c r="E28" s="34"/>
      <c r="F28" s="35"/>
      <c r="G28" s="36"/>
      <c r="H28" s="36"/>
      <c r="I28" s="37"/>
    </row>
    <row r="29" spans="1:9" x14ac:dyDescent="0.25">
      <c r="A29" s="27">
        <f>Table15678913141920[[#This Row],[Full Name]]</f>
        <v>0</v>
      </c>
      <c r="B29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29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29" s="7" t="str">
        <f>IF(Table15678913141920[[#This Row],[Category]]="","",IF(Table15678913141920[[#This Row],[Category]]="M",COUNTIF($I$2:$I29,"M"),IF(Table15678913141920[[#This Row],[Category]]="F",COUNTIF($I$2:$I29,"F"),0)))</f>
        <v/>
      </c>
      <c r="E29" s="34"/>
      <c r="F29" s="35"/>
      <c r="G29" s="36"/>
      <c r="H29" s="36"/>
      <c r="I29" s="37"/>
    </row>
    <row r="30" spans="1:9" x14ac:dyDescent="0.25">
      <c r="A30" s="27">
        <f>Table15678913141920[[#This Row],[Full Name]]</f>
        <v>0</v>
      </c>
      <c r="B30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0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0" s="7" t="str">
        <f>IF(Table15678913141920[[#This Row],[Category]]="","",IF(Table15678913141920[[#This Row],[Category]]="M",COUNTIF($I$2:$I30,"M"),IF(Table15678913141920[[#This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Table15678913141920[[#This Row],[Full Name]]</f>
        <v>0</v>
      </c>
      <c r="B31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1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1" s="7" t="str">
        <f>IF(Table15678913141920[[#This Row],[Category]]="","",IF(Table15678913141920[[#This Row],[Category]]="M",COUNTIF($I$2:$I31,"M"),IF(Table15678913141920[[#This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Table15678913141920[[#This Row],[Full Name]]</f>
        <v>0</v>
      </c>
      <c r="B32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2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2" s="7" t="str">
        <f>IF(Table15678913141920[[#This Row],[Category]]="","",IF(Table15678913141920[[#This Row],[Category]]="M",COUNTIF($I$2:$I32,"M"),IF(Table15678913141920[[#This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Table15678913141920[[#This Row],[Full Name]]</f>
        <v>0</v>
      </c>
      <c r="B33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3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3" s="7" t="str">
        <f>IF(Table15678913141920[[#This Row],[Category]]="","",IF(Table15678913141920[[#This Row],[Category]]="M",COUNTIF($I$2:$I33,"M"),IF(Table15678913141920[[#This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Table15678913141920[[#This Row],[Full Name]]</f>
        <v>0</v>
      </c>
      <c r="B34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4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4" s="7" t="str">
        <f>IF(Table15678913141920[[#This Row],[Category]]="","",IF(Table15678913141920[[#This Row],[Category]]="M",COUNTIF($I$2:$I34,"M"),IF(Table15678913141920[[#This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Table15678913141920[[#This Row],[Full Name]]</f>
        <v>0</v>
      </c>
      <c r="B35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5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5" s="7" t="str">
        <f>IF(Table15678913141920[[#This Row],[Category]]="","",IF(Table15678913141920[[#This Row],[Category]]="M",COUNTIF($I$2:$I35,"M"),IF(Table15678913141920[[#This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Table15678913141920[[#This Row],[Full Name]]</f>
        <v>0</v>
      </c>
      <c r="B36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6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6" s="7" t="str">
        <f>IF(Table15678913141920[[#This Row],[Category]]="","",IF(Table15678913141920[[#This Row],[Category]]="M",COUNTIF($I$2:$I36,"M"),IF(Table15678913141920[[#This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Table15678913141920[[#This Row],[Full Name]]</f>
        <v>0</v>
      </c>
      <c r="B37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7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7" s="7" t="str">
        <f>IF(Table15678913141920[[#This Row],[Category]]="","",IF(Table15678913141920[[#This Row],[Category]]="M",COUNTIF($I$2:$I37,"M"),IF(Table15678913141920[[#This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Table15678913141920[[#This Row],[Full Name]]</f>
        <v>0</v>
      </c>
      <c r="B38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8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8" s="7" t="str">
        <f>IF(Table15678913141920[[#This Row],[Category]]="","",IF(Table15678913141920[[#This Row],[Category]]="M",COUNTIF($I$2:$I38,"M"),IF(Table15678913141920[[#This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Table15678913141920[[#This Row],[Full Name]]</f>
        <v>0</v>
      </c>
      <c r="B39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39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39" s="7" t="str">
        <f>IF(Table15678913141920[[#This Row],[Category]]="","",IF(Table15678913141920[[#This Row],[Category]]="M",COUNTIF($I$2:$I39,"M"),IF(Table15678913141920[[#This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Table15678913141920[[#This Row],[Full Name]]</f>
        <v>0</v>
      </c>
      <c r="B40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0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0" s="7" t="str">
        <f>IF(Table15678913141920[[#This Row],[Category]]="","",IF(Table15678913141920[[#This Row],[Category]]="M",COUNTIF($I$2:$I40,"M"),IF(Table15678913141920[[#This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Table15678913141920[[#This Row],[Full Name]]</f>
        <v>0</v>
      </c>
      <c r="B41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1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1" s="7" t="str">
        <f>IF(Table15678913141920[[#This Row],[Category]]="","",IF(Table15678913141920[[#This Row],[Category]]="M",COUNTIF($I$2:$I41,"M"),IF(Table15678913141920[[#This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Table15678913141920[[#This Row],[Full Name]]</f>
        <v>0</v>
      </c>
      <c r="B42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2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2" s="7" t="str">
        <f>IF(Table15678913141920[[#This Row],[Category]]="","",IF(Table15678913141920[[#This Row],[Category]]="M",COUNTIF($I$2:$I42,"M"),IF(Table15678913141920[[#This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Table15678913141920[[#This Row],[Full Name]]</f>
        <v>0</v>
      </c>
      <c r="B43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3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3" s="7" t="str">
        <f>IF(Table15678913141920[[#This Row],[Category]]="","",IF(Table15678913141920[[#This Row],[Category]]="M",COUNTIF($I$2:$I43,"M"),IF(Table15678913141920[[#This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Table15678913141920[[#This Row],[Full Name]]</f>
        <v>0</v>
      </c>
      <c r="B44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4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4" s="7" t="str">
        <f>IF(Table15678913141920[[#This Row],[Category]]="","",IF(Table15678913141920[[#This Row],[Category]]="M",COUNTIF($I$2:$I44,"M"),IF(Table15678913141920[[#This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Table15678913141920[[#This Row],[Full Name]]</f>
        <v>0</v>
      </c>
      <c r="B45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5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5" s="7" t="str">
        <f>IF(Table15678913141920[[#This Row],[Category]]="","",IF(Table15678913141920[[#This Row],[Category]]="M",COUNTIF($I$2:$I45,"M"),IF(Table15678913141920[[#This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Table15678913141920[[#This Row],[Full Name]]</f>
        <v>0</v>
      </c>
      <c r="B46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6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6" s="7" t="str">
        <f>IF(Table15678913141920[[#This Row],[Category]]="","",IF(Table15678913141920[[#This Row],[Category]]="M",COUNTIF($I$2:$I46,"M"),IF(Table15678913141920[[#This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Table15678913141920[[#This Row],[Full Name]]</f>
        <v>0</v>
      </c>
      <c r="B47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7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7" s="7" t="str">
        <f>IF(Table15678913141920[[#This Row],[Category]]="","",IF(Table15678913141920[[#This Row],[Category]]="M",COUNTIF($I$2:$I47,"M"),IF(Table15678913141920[[#This Row],[Category]]="F",COUNTIF($I$2:$I47,"F"),0)))</f>
        <v/>
      </c>
      <c r="E47" s="34"/>
      <c r="F47" s="35"/>
      <c r="G47" s="36"/>
      <c r="H47" s="36"/>
      <c r="I47" s="37"/>
    </row>
    <row r="48" spans="1:9" x14ac:dyDescent="0.25">
      <c r="A48" s="27">
        <f>Table15678913141920[[#This Row],[Full Name]]</f>
        <v>0</v>
      </c>
      <c r="B48" s="29" t="str">
        <f>IF(Table15678913141920[[#This Row],[Full Name]]="","",IF(IFERROR(IFERROR(VLOOKUP(Table15678913141920[[#This Row],[Full Name]],'Mens League'!B:B,1,FALSE),VLOOKUP(Table15678913141920[[#This Row],[Full Name]],'Women''s League'!B:B,1,FALSE)),"NEEDS ADDING")="NEEDS ADDING","NEEDS ADDING","OK"))</f>
        <v/>
      </c>
      <c r="C48" s="29" t="str">
        <f>IF(Table15678913141920[[#This Row],[Position]]="","",IF(Table15678913141920[[#This Row],[Rank]]=1,30,IF(Table15678913141920[[#This Row],[Rank]]=2,29,IF(Table15678913141920[[#This Row],[Rank]]=3,28,IF(Table15678913141920[[#This Row],[Rank]]=4,27,IF(Table15678913141920[[#This Row],[Rank]]=5,26,IF(Table15678913141920[[#This Row],[Rank]]=6,25,IF(Table15678913141920[[#This Row],[Rank]]=7,24,IF(Table15678913141920[[#This Row],[Rank]]=8,23,IF(Table15678913141920[[#This Row],[Rank]]=9,22,IF(Table15678913141920[[#This Row],[Rank]]=10,21,IF(Table15678913141920[[#This Row],[Rank]]=11,20,IF(Table15678913141920[[#This Row],[Rank]]=12,19,IF(Table15678913141920[[#This Row],[Rank]]=13,18,IF(Table15678913141920[[#This Row],[Rank]]=14,17,IF(Table15678913141920[[#This Row],[Rank]]=15,16,IF(Table15678913141920[[#This Row],[Rank]]=16,15,IF(Table15678913141920[[#This Row],[Rank]]=17,14,IF(Table15678913141920[[#This Row],[Rank]]=18,13,IF(Table15678913141920[[#This Row],[Rank]]=19,12,IF(Table15678913141920[[#This Row],[Rank]]=20,11,IF(Table15678913141920[[#This Row],[Rank]]=21,10,IF(Table15678913141920[[#This Row],[Rank]]=22,9,IF(Table15678913141920[[#This Row],[Rank]]=23,8,IF(Table15678913141920[[#This Row],[Rank]]=24,7,IF(Table15678913141920[[#This Row],[Rank]]=25,6,IF(Table15678913141920[[#This Row],[Rank]]=26,5,IF(Table15678913141920[[#This Row],[Rank]]=27,4,IF(Table15678913141920[[#This Row],[Rank]]=28,3,IF(Table15678913141920[[#This Row],[Rank]]=29,2,IF(Table15678913141920[[#This Row],[Rank]]=30,1,0)))))))))))))))))))))))))))))))</f>
        <v/>
      </c>
      <c r="D48" s="7" t="str">
        <f>IF(Table15678913141920[[#This Row],[Category]]="","",IF(Table15678913141920[[#This Row],[Category]]="M",COUNTIF($I$2:$I48,"M"),IF(Table15678913141920[[#This Row],[Category]]="F",COUNTIF($I$2:$I48,"F"),0)))</f>
        <v/>
      </c>
      <c r="E48" s="34"/>
      <c r="F48" s="35"/>
      <c r="G48" s="36"/>
      <c r="H48" s="36"/>
      <c r="I48" s="37"/>
    </row>
  </sheetData>
  <phoneticPr fontId="11" type="noConversion"/>
  <conditionalFormatting sqref="B2:B48">
    <cfRule type="containsText" dxfId="11" priority="1" operator="containsText" text="OK">
      <formula>NOT(ISERROR(SEARCH("OK",B2)))</formula>
    </cfRule>
    <cfRule type="containsText" dxfId="10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BA4F-7297-47A9-8342-DDACDAB123F1}">
  <sheetPr>
    <tabColor rgb="FF00B0F0"/>
  </sheetPr>
  <dimension ref="A1:I49"/>
  <sheetViews>
    <sheetView topLeftCell="B1" workbookViewId="0">
      <selection activeCell="H27" sqref="H27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Table1567891314192021[[#This Row],[Full Name]]</f>
        <v>PLEASS, Matt</v>
      </c>
      <c r="B2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30</v>
      </c>
      <c r="D2" s="7">
        <f>IF(Table1567891314192021[[#This Row],[Category]]="","",IF(Table1567891314192021[[#This Row],[Category]]="M",COUNTIF($I$2:$I2,"M"),IF(Table1567891314192021[[#This Row],[Category]]="F",COUNTIF($I$2:$I2,"F"),0)))</f>
        <v>1</v>
      </c>
      <c r="E2" s="34">
        <v>8</v>
      </c>
      <c r="F2" s="35">
        <v>2.8472222222222222E-2</v>
      </c>
      <c r="G2" s="36" t="s">
        <v>388</v>
      </c>
      <c r="H2" s="36" t="s">
        <v>69</v>
      </c>
      <c r="I2" s="37" t="s">
        <v>146</v>
      </c>
    </row>
    <row r="3" spans="1:9" ht="29.25" x14ac:dyDescent="0.25">
      <c r="A3" s="26" t="str">
        <f>Table1567891314192021[[#This Row],[Full Name]]</f>
        <v>BLADON-COPE, Daniel</v>
      </c>
      <c r="B3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3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29</v>
      </c>
      <c r="D3" s="7">
        <f>IF(Table1567891314192021[[#This Row],[Category]]="","",IF(Table1567891314192021[[#This Row],[Category]]="M",COUNTIF($I$2:$I3,"M"),IF(Table1567891314192021[[#This Row],[Category]]="F",COUNTIF($I$2:$I3,"F"),0)))</f>
        <v>2</v>
      </c>
      <c r="E3" s="34">
        <v>15</v>
      </c>
      <c r="F3" s="35">
        <v>2.9965277777777778E-2</v>
      </c>
      <c r="G3" s="36" t="s">
        <v>252</v>
      </c>
      <c r="H3" s="36" t="s">
        <v>282</v>
      </c>
      <c r="I3" s="37" t="s">
        <v>146</v>
      </c>
    </row>
    <row r="4" spans="1:9" x14ac:dyDescent="0.25">
      <c r="A4" s="26" t="str">
        <f>Table1567891314192021[[#This Row],[Full Name]]</f>
        <v>EATON, Rob</v>
      </c>
      <c r="B4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4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28</v>
      </c>
      <c r="D4" s="7">
        <f>IF(Table1567891314192021[[#This Row],[Category]]="","",IF(Table1567891314192021[[#This Row],[Category]]="M",COUNTIF($I$2:$I4,"M"),IF(Table1567891314192021[[#This Row],[Category]]="F",COUNTIF($I$2:$I4,"F"),0)))</f>
        <v>3</v>
      </c>
      <c r="E4" s="34">
        <v>22</v>
      </c>
      <c r="F4" s="35">
        <v>3.0520833333333334E-2</v>
      </c>
      <c r="G4" s="36" t="s">
        <v>317</v>
      </c>
      <c r="H4" s="36" t="s">
        <v>395</v>
      </c>
      <c r="I4" s="37" t="s">
        <v>146</v>
      </c>
    </row>
    <row r="5" spans="1:9" ht="29.25" x14ac:dyDescent="0.25">
      <c r="A5" s="26" t="str">
        <f>Table1567891314192021[[#This Row],[Full Name]]</f>
        <v>BLADON-COPE, Jordan</v>
      </c>
      <c r="B5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5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27</v>
      </c>
      <c r="D5" s="7">
        <f>IF(Table1567891314192021[[#This Row],[Category]]="","",IF(Table1567891314192021[[#This Row],[Category]]="M",COUNTIF($I$2:$I5,"M"),IF(Table1567891314192021[[#This Row],[Category]]="F",COUNTIF($I$2:$I5,"F"),0)))</f>
        <v>4</v>
      </c>
      <c r="E5" s="34">
        <v>9</v>
      </c>
      <c r="F5" s="35">
        <v>3.142361111111111E-2</v>
      </c>
      <c r="G5" s="36" t="s">
        <v>226</v>
      </c>
      <c r="H5" s="36" t="s">
        <v>283</v>
      </c>
      <c r="I5" s="37" t="s">
        <v>146</v>
      </c>
    </row>
    <row r="6" spans="1:9" x14ac:dyDescent="0.25">
      <c r="A6" s="26" t="str">
        <f>Table1567891314192021[[#This Row],[Full Name]]</f>
        <v>CODD, Paul</v>
      </c>
      <c r="B6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6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26</v>
      </c>
      <c r="D6" s="7">
        <f>IF(Table1567891314192021[[#This Row],[Category]]="","",IF(Table1567891314192021[[#This Row],[Category]]="M",COUNTIF($I$2:$I6,"M"),IF(Table1567891314192021[[#This Row],[Category]]="F",COUNTIF($I$2:$I6,"F"),0)))</f>
        <v>5</v>
      </c>
      <c r="E6" s="34">
        <v>17</v>
      </c>
      <c r="F6" s="35">
        <v>3.2488425925925928E-2</v>
      </c>
      <c r="G6" s="36" t="s">
        <v>278</v>
      </c>
      <c r="H6" s="36" t="s">
        <v>48</v>
      </c>
      <c r="I6" s="37" t="s">
        <v>146</v>
      </c>
    </row>
    <row r="7" spans="1:9" x14ac:dyDescent="0.25">
      <c r="A7" s="26" t="str">
        <f>Table1567891314192021[[#This Row],[Full Name]]</f>
        <v>BARNES, Louis</v>
      </c>
      <c r="B7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7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25</v>
      </c>
      <c r="D7" s="7">
        <f>IF(Table1567891314192021[[#This Row],[Category]]="","",IF(Table1567891314192021[[#This Row],[Category]]="M",COUNTIF($I$2:$I7,"M"),IF(Table1567891314192021[[#This Row],[Category]]="F",COUNTIF($I$2:$I7,"F"),0)))</f>
        <v>6</v>
      </c>
      <c r="E7" s="34">
        <v>19</v>
      </c>
      <c r="F7" s="35">
        <v>3.3136574074074075E-2</v>
      </c>
      <c r="G7" s="36" t="s">
        <v>393</v>
      </c>
      <c r="H7" s="36" t="s">
        <v>4</v>
      </c>
      <c r="I7" s="37" t="s">
        <v>146</v>
      </c>
    </row>
    <row r="8" spans="1:9" x14ac:dyDescent="0.25">
      <c r="A8" s="26" t="str">
        <f>Table1567891314192021[[#This Row],[Full Name]]</f>
        <v>DUNNING, Phil</v>
      </c>
      <c r="B8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8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24</v>
      </c>
      <c r="D8" s="7">
        <f>IF(Table1567891314192021[[#This Row],[Category]]="","",IF(Table1567891314192021[[#This Row],[Category]]="M",COUNTIF($I$2:$I8,"M"),IF(Table1567891314192021[[#This Row],[Category]]="F",COUNTIF($I$2:$I8,"F"),0)))</f>
        <v>7</v>
      </c>
      <c r="E8" s="34">
        <v>25</v>
      </c>
      <c r="F8" s="35">
        <v>3.3344907407407406E-2</v>
      </c>
      <c r="G8" s="36" t="s">
        <v>293</v>
      </c>
      <c r="H8" s="36" t="s">
        <v>227</v>
      </c>
      <c r="I8" s="37" t="s">
        <v>146</v>
      </c>
    </row>
    <row r="9" spans="1:9" x14ac:dyDescent="0.25">
      <c r="A9" s="26" t="str">
        <f>Table1567891314192021[[#This Row],[Full Name]]</f>
        <v>ALLSOP, Andrew</v>
      </c>
      <c r="B9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9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23</v>
      </c>
      <c r="D9" s="7">
        <f>IF(Table1567891314192021[[#This Row],[Category]]="","",IF(Table1567891314192021[[#This Row],[Category]]="M",COUNTIF($I$2:$I9,"M"),IF(Table1567891314192021[[#This Row],[Category]]="F",COUNTIF($I$2:$I9,"F"),0)))</f>
        <v>8</v>
      </c>
      <c r="E9" s="34">
        <v>13</v>
      </c>
      <c r="F9" s="35">
        <v>3.5381944444444445E-2</v>
      </c>
      <c r="G9" s="36" t="s">
        <v>212</v>
      </c>
      <c r="H9" s="36" t="s">
        <v>177</v>
      </c>
      <c r="I9" s="37" t="s">
        <v>146</v>
      </c>
    </row>
    <row r="10" spans="1:9" x14ac:dyDescent="0.25">
      <c r="A10" s="26" t="str">
        <f>Table1567891314192021[[#This Row],[Full Name]]</f>
        <v>BLAND, Damon</v>
      </c>
      <c r="B10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0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22</v>
      </c>
      <c r="D10" s="7">
        <f>IF(Table1567891314192021[[#This Row],[Category]]="","",IF(Table1567891314192021[[#This Row],[Category]]="M",COUNTIF($I$2:$I10,"M"),IF(Table1567891314192021[[#This Row],[Category]]="F",COUNTIF($I$2:$I10,"F"),0)))</f>
        <v>9</v>
      </c>
      <c r="E10" s="34">
        <v>4</v>
      </c>
      <c r="F10" s="35">
        <v>3.5486111111111114E-2</v>
      </c>
      <c r="G10" s="36" t="s">
        <v>387</v>
      </c>
      <c r="H10" s="36" t="s">
        <v>9</v>
      </c>
      <c r="I10" s="37" t="s">
        <v>146</v>
      </c>
    </row>
    <row r="11" spans="1:9" x14ac:dyDescent="0.25">
      <c r="A11" s="26" t="str">
        <f>Table1567891314192021[[#This Row],[Full Name]]</f>
        <v>GOLDINGAY, Harry</v>
      </c>
      <c r="B11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1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21</v>
      </c>
      <c r="D11" s="7">
        <f>IF(Table1567891314192021[[#This Row],[Category]]="","",IF(Table1567891314192021[[#This Row],[Category]]="M",COUNTIF($I$2:$I11,"M"),IF(Table1567891314192021[[#This Row],[Category]]="F",COUNTIF($I$2:$I11,"F"),0)))</f>
        <v>10</v>
      </c>
      <c r="E11" s="34">
        <v>6</v>
      </c>
      <c r="F11" s="35">
        <v>3.5717592592592592E-2</v>
      </c>
      <c r="G11" s="36" t="s">
        <v>364</v>
      </c>
      <c r="H11" s="36" t="s">
        <v>125</v>
      </c>
      <c r="I11" s="37" t="s">
        <v>146</v>
      </c>
    </row>
    <row r="12" spans="1:9" x14ac:dyDescent="0.25">
      <c r="A12" s="26" t="str">
        <f>Table1567891314192021[[#This Row],[Full Name]]</f>
        <v>CAIN, James</v>
      </c>
      <c r="B12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2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20</v>
      </c>
      <c r="D12" s="7">
        <f>IF(Table1567891314192021[[#This Row],[Category]]="","",IF(Table1567891314192021[[#This Row],[Category]]="M",COUNTIF($I$2:$I12,"M"),IF(Table1567891314192021[[#This Row],[Category]]="F",COUNTIF($I$2:$I12,"F"),0)))</f>
        <v>11</v>
      </c>
      <c r="E12" s="34">
        <v>5</v>
      </c>
      <c r="F12" s="35">
        <v>3.591435185185185E-2</v>
      </c>
      <c r="G12" s="36" t="s">
        <v>191</v>
      </c>
      <c r="H12" s="36" t="s">
        <v>119</v>
      </c>
      <c r="I12" s="37" t="s">
        <v>146</v>
      </c>
    </row>
    <row r="13" spans="1:9" x14ac:dyDescent="0.25">
      <c r="A13" s="26" t="str">
        <f>Table1567891314192021[[#This Row],[Full Name]]</f>
        <v>EYDMAN, Mark</v>
      </c>
      <c r="B13" s="28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3" s="28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19</v>
      </c>
      <c r="D13" s="7">
        <f>IF(Table1567891314192021[[#This Row],[Category]]="","",IF(Table1567891314192021[[#This Row],[Category]]="M",COUNTIF($I$2:$I13,"M"),IF(Table1567891314192021[[#This Row],[Category]]="F",COUNTIF($I$2:$I13,"F"),0)))</f>
        <v>12</v>
      </c>
      <c r="E13" s="34">
        <v>1</v>
      </c>
      <c r="F13" s="35">
        <v>3.6608796296296299E-2</v>
      </c>
      <c r="G13" s="36" t="s">
        <v>383</v>
      </c>
      <c r="H13" s="36" t="s">
        <v>386</v>
      </c>
      <c r="I13" s="37" t="s">
        <v>146</v>
      </c>
    </row>
    <row r="14" spans="1:9" x14ac:dyDescent="0.25">
      <c r="A14" s="27" t="str">
        <f>Table1567891314192021[[#This Row],[Full Name]]</f>
        <v>DUNNING, Chloe</v>
      </c>
      <c r="B14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4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30</v>
      </c>
      <c r="D14" s="7">
        <f>IF(Table1567891314192021[[#This Row],[Category]]="","",IF(Table1567891314192021[[#This Row],[Category]]="M",COUNTIF($I$2:$I14,"M"),IF(Table1567891314192021[[#This Row],[Category]]="F",COUNTIF($I$2:$I14,"F"),0)))</f>
        <v>1</v>
      </c>
      <c r="E14" s="38">
        <v>3</v>
      </c>
      <c r="F14" s="39">
        <v>3.695601851851852E-2</v>
      </c>
      <c r="G14" s="40" t="s">
        <v>348</v>
      </c>
      <c r="H14" s="40" t="s">
        <v>376</v>
      </c>
      <c r="I14" s="41" t="s">
        <v>156</v>
      </c>
    </row>
    <row r="15" spans="1:9" x14ac:dyDescent="0.25">
      <c r="A15" s="27" t="str">
        <f>Table1567891314192021[[#This Row],[Full Name]]</f>
        <v>SMITH, Victoria</v>
      </c>
      <c r="B15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5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29</v>
      </c>
      <c r="D15" s="7">
        <f>IF(Table1567891314192021[[#This Row],[Category]]="","",IF(Table1567891314192021[[#This Row],[Category]]="M",COUNTIF($I$2:$I15,"M"),IF(Table1567891314192021[[#This Row],[Category]]="F",COUNTIF($I$2:$I15,"F"),0)))</f>
        <v>2</v>
      </c>
      <c r="E15" s="34">
        <v>11</v>
      </c>
      <c r="F15" s="35">
        <v>3.7546296296296293E-2</v>
      </c>
      <c r="G15" s="36" t="s">
        <v>197</v>
      </c>
      <c r="H15" s="36" t="s">
        <v>41</v>
      </c>
      <c r="I15" s="37" t="s">
        <v>156</v>
      </c>
    </row>
    <row r="16" spans="1:9" x14ac:dyDescent="0.25">
      <c r="A16" s="27" t="str">
        <f>Table1567891314192021[[#This Row],[Full Name]]</f>
        <v>GILES, George</v>
      </c>
      <c r="B16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6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18</v>
      </c>
      <c r="D16" s="7">
        <f>IF(Table1567891314192021[[#This Row],[Category]]="","",IF(Table1567891314192021[[#This Row],[Category]]="M",COUNTIF($I$2:$I16,"M"),IF(Table1567891314192021[[#This Row],[Category]]="F",COUNTIF($I$2:$I16,"F"),0)))</f>
        <v>13</v>
      </c>
      <c r="E16" s="34">
        <v>29</v>
      </c>
      <c r="F16" s="35">
        <v>3.7638888888888888E-2</v>
      </c>
      <c r="G16" s="36" t="s">
        <v>232</v>
      </c>
      <c r="H16" s="36" t="s">
        <v>128</v>
      </c>
      <c r="I16" s="37" t="s">
        <v>146</v>
      </c>
    </row>
    <row r="17" spans="1:9" x14ac:dyDescent="0.25">
      <c r="A17" s="27" t="str">
        <f>Table1567891314192021[[#This Row],[Full Name]]</f>
        <v>JOYCE, Matthew</v>
      </c>
      <c r="B17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7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17</v>
      </c>
      <c r="D17" s="7">
        <f>IF(Table1567891314192021[[#This Row],[Category]]="","",IF(Table1567891314192021[[#This Row],[Category]]="M",COUNTIF($I$2:$I17,"M"),IF(Table1567891314192021[[#This Row],[Category]]="F",COUNTIF($I$2:$I17,"F"),0)))</f>
        <v>14</v>
      </c>
      <c r="E17" s="34">
        <v>10</v>
      </c>
      <c r="F17" s="35">
        <v>3.8136574074074073E-2</v>
      </c>
      <c r="G17" s="36" t="s">
        <v>335</v>
      </c>
      <c r="H17" s="36" t="s">
        <v>57</v>
      </c>
      <c r="I17" s="37" t="s">
        <v>146</v>
      </c>
    </row>
    <row r="18" spans="1:9" x14ac:dyDescent="0.25">
      <c r="A18" s="27" t="str">
        <f>Table1567891314192021[[#This Row],[Full Name]]</f>
        <v>MONAGHAN, Amelia</v>
      </c>
      <c r="B18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8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28</v>
      </c>
      <c r="D18" s="7">
        <f>IF(Table1567891314192021[[#This Row],[Category]]="","",IF(Table1567891314192021[[#This Row],[Category]]="M",COUNTIF($I$2:$I18,"M"),IF(Table1567891314192021[[#This Row],[Category]]="F",COUNTIF($I$2:$I18,"F"),0)))</f>
        <v>3</v>
      </c>
      <c r="E18" s="34">
        <v>30</v>
      </c>
      <c r="F18" s="35">
        <v>3.8437499999999999E-2</v>
      </c>
      <c r="G18" s="36" t="s">
        <v>398</v>
      </c>
      <c r="H18" s="36" t="s">
        <v>93</v>
      </c>
      <c r="I18" s="37" t="s">
        <v>156</v>
      </c>
    </row>
    <row r="19" spans="1:9" x14ac:dyDescent="0.25">
      <c r="A19" s="27" t="str">
        <f>Table1567891314192021[[#This Row],[Full Name]]</f>
        <v>BETTS, Fiona</v>
      </c>
      <c r="B19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19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27</v>
      </c>
      <c r="D19" s="7">
        <f>IF(Table1567891314192021[[#This Row],[Category]]="","",IF(Table1567891314192021[[#This Row],[Category]]="M",COUNTIF($I$2:$I19,"M"),IF(Table1567891314192021[[#This Row],[Category]]="F",COUNTIF($I$2:$I19,"F"),0)))</f>
        <v>4</v>
      </c>
      <c r="E19" s="34">
        <v>18</v>
      </c>
      <c r="F19" s="35">
        <v>3.9050925925925926E-2</v>
      </c>
      <c r="G19" s="36" t="s">
        <v>392</v>
      </c>
      <c r="H19" s="36" t="s">
        <v>51</v>
      </c>
      <c r="I19" s="37" t="s">
        <v>156</v>
      </c>
    </row>
    <row r="20" spans="1:9" x14ac:dyDescent="0.25">
      <c r="A20" s="27" t="str">
        <f>Table1567891314192021[[#This Row],[Full Name]]</f>
        <v>BENNION, Nancy</v>
      </c>
      <c r="B20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0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26</v>
      </c>
      <c r="D20" s="7">
        <f>IF(Table1567891314192021[[#This Row],[Category]]="","",IF(Table1567891314192021[[#This Row],[Category]]="M",COUNTIF($I$2:$I20,"M"),IF(Table1567891314192021[[#This Row],[Category]]="F",COUNTIF($I$2:$I20,"F"),0)))</f>
        <v>5</v>
      </c>
      <c r="E20" s="34">
        <v>20</v>
      </c>
      <c r="F20" s="35">
        <v>3.965277777777778E-2</v>
      </c>
      <c r="G20" s="36" t="s">
        <v>288</v>
      </c>
      <c r="H20" s="36" t="s">
        <v>50</v>
      </c>
      <c r="I20" s="37" t="s">
        <v>156</v>
      </c>
    </row>
    <row r="21" spans="1:9" x14ac:dyDescent="0.25">
      <c r="A21" s="27" t="str">
        <f>Table1567891314192021[[#This Row],[Full Name]]</f>
        <v>WATKINS, Catherine</v>
      </c>
      <c r="B21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1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25</v>
      </c>
      <c r="D21" s="7">
        <f>IF(Table1567891314192021[[#This Row],[Category]]="","",IF(Table1567891314192021[[#This Row],[Category]]="M",COUNTIF($I$2:$I21,"M"),IF(Table1567891314192021[[#This Row],[Category]]="F",COUNTIF($I$2:$I21,"F"),0)))</f>
        <v>6</v>
      </c>
      <c r="E21" s="34">
        <v>23</v>
      </c>
      <c r="F21" s="35">
        <v>3.9907407407407405E-2</v>
      </c>
      <c r="G21" s="36" t="s">
        <v>289</v>
      </c>
      <c r="H21" s="36" t="s">
        <v>98</v>
      </c>
      <c r="I21" s="37" t="s">
        <v>156</v>
      </c>
    </row>
    <row r="22" spans="1:9" x14ac:dyDescent="0.25">
      <c r="A22" s="27" t="str">
        <f>Table1567891314192021[[#This Row],[Full Name]]</f>
        <v>TAIT, Susan</v>
      </c>
      <c r="B22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2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24</v>
      </c>
      <c r="D22" s="7">
        <f>IF(Table1567891314192021[[#This Row],[Category]]="","",IF(Table1567891314192021[[#This Row],[Category]]="M",COUNTIF($I$2:$I22,"M"),IF(Table1567891314192021[[#This Row],[Category]]="F",COUNTIF($I$2:$I22,"F"),0)))</f>
        <v>7</v>
      </c>
      <c r="E22" s="34">
        <v>2</v>
      </c>
      <c r="F22" s="35">
        <v>4.0520833333333332E-2</v>
      </c>
      <c r="G22" s="36" t="s">
        <v>350</v>
      </c>
      <c r="H22" s="36" t="s">
        <v>58</v>
      </c>
      <c r="I22" s="37" t="s">
        <v>156</v>
      </c>
    </row>
    <row r="23" spans="1:9" x14ac:dyDescent="0.25">
      <c r="A23" s="27" t="str">
        <f>Table1567891314192021[[#This Row],[Full Name]]</f>
        <v>POWDRILL, Neil</v>
      </c>
      <c r="B23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3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16</v>
      </c>
      <c r="D23" s="7">
        <f>IF(Table1567891314192021[[#This Row],[Category]]="","",IF(Table1567891314192021[[#This Row],[Category]]="M",COUNTIF($I$2:$I23,"M"),IF(Table1567891314192021[[#This Row],[Category]]="F",COUNTIF($I$2:$I23,"F"),0)))</f>
        <v>15</v>
      </c>
      <c r="E23" s="34">
        <v>7</v>
      </c>
      <c r="F23" s="35">
        <v>4.1747685185185186E-2</v>
      </c>
      <c r="G23" s="36" t="s">
        <v>237</v>
      </c>
      <c r="H23" s="36" t="s">
        <v>222</v>
      </c>
      <c r="I23" s="37" t="s">
        <v>146</v>
      </c>
    </row>
    <row r="24" spans="1:9" x14ac:dyDescent="0.25">
      <c r="A24" s="27" t="str">
        <f>Table1567891314192021[[#This Row],[Full Name]]</f>
        <v>AVERILLO, Paul</v>
      </c>
      <c r="B24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4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15</v>
      </c>
      <c r="D24" s="7">
        <f>IF(Table1567891314192021[[#This Row],[Category]]="","",IF(Table1567891314192021[[#This Row],[Category]]="M",COUNTIF($I$2:$I24,"M"),IF(Table1567891314192021[[#This Row],[Category]]="F",COUNTIF($I$2:$I24,"F"),0)))</f>
        <v>16</v>
      </c>
      <c r="E24" s="34">
        <v>21</v>
      </c>
      <c r="F24" s="35">
        <v>4.1840277777777775E-2</v>
      </c>
      <c r="G24" s="36" t="s">
        <v>394</v>
      </c>
      <c r="H24" s="36" t="s">
        <v>54</v>
      </c>
      <c r="I24" s="37" t="s">
        <v>146</v>
      </c>
    </row>
    <row r="25" spans="1:9" x14ac:dyDescent="0.25">
      <c r="A25" s="27" t="str">
        <f>Table1567891314192021[[#This Row],[Full Name]]</f>
        <v>CODD, Sarah</v>
      </c>
      <c r="B25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5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23</v>
      </c>
      <c r="D25" s="7">
        <f>IF(Table1567891314192021[[#This Row],[Category]]="","",IF(Table1567891314192021[[#This Row],[Category]]="M",COUNTIF($I$2:$I25,"M"),IF(Table1567891314192021[[#This Row],[Category]]="F",COUNTIF($I$2:$I25,"F"),0)))</f>
        <v>8</v>
      </c>
      <c r="E25" s="34">
        <v>14</v>
      </c>
      <c r="F25" s="35">
        <v>4.2604166666666665E-2</v>
      </c>
      <c r="G25" s="36" t="s">
        <v>201</v>
      </c>
      <c r="H25" s="36" t="s">
        <v>137</v>
      </c>
      <c r="I25" s="37" t="s">
        <v>156</v>
      </c>
    </row>
    <row r="26" spans="1:9" x14ac:dyDescent="0.25">
      <c r="A26" s="27" t="str">
        <f>Table1567891314192021[[#This Row],[Full Name]]</f>
        <v>WESTERN, Roger</v>
      </c>
      <c r="B26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6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14</v>
      </c>
      <c r="D26" s="7">
        <f>IF(Table1567891314192021[[#This Row],[Category]]="","",IF(Table1567891314192021[[#This Row],[Category]]="M",COUNTIF($I$2:$I26,"M"),IF(Table1567891314192021[[#This Row],[Category]]="F",COUNTIF($I$2:$I26,"F"),0)))</f>
        <v>17</v>
      </c>
      <c r="E26" s="34">
        <v>28</v>
      </c>
      <c r="F26" s="35">
        <v>4.2824074074074077E-2</v>
      </c>
      <c r="G26" s="36" t="s">
        <v>378</v>
      </c>
      <c r="H26" s="36" t="s">
        <v>31</v>
      </c>
      <c r="I26" s="37" t="s">
        <v>146</v>
      </c>
    </row>
    <row r="27" spans="1:9" x14ac:dyDescent="0.25">
      <c r="A27" s="27" t="str">
        <f>Table1567891314192021[[#This Row],[Full Name]]</f>
        <v>LEWIS, Sarah</v>
      </c>
      <c r="B27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7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22</v>
      </c>
      <c r="D27" s="7">
        <f>IF(Table1567891314192021[[#This Row],[Category]]="","",IF(Table1567891314192021[[#This Row],[Category]]="M",COUNTIF($I$2:$I27,"M"),IF(Table1567891314192021[[#This Row],[Category]]="F",COUNTIF($I$2:$I27,"F"),0)))</f>
        <v>9</v>
      </c>
      <c r="E27" s="34">
        <v>16</v>
      </c>
      <c r="F27" s="35">
        <v>4.2997685185185187E-2</v>
      </c>
      <c r="G27" s="36" t="s">
        <v>390</v>
      </c>
      <c r="H27" s="36" t="s">
        <v>391</v>
      </c>
      <c r="I27" s="37" t="s">
        <v>156</v>
      </c>
    </row>
    <row r="28" spans="1:9" x14ac:dyDescent="0.25">
      <c r="A28" s="27" t="str">
        <f>Table1567891314192021[[#This Row],[Full Name]]</f>
        <v>MUMMERY, Ismay</v>
      </c>
      <c r="B28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8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21</v>
      </c>
      <c r="D28" s="7">
        <f>IF(Table1567891314192021[[#This Row],[Category]]="","",IF(Table1567891314192021[[#This Row],[Category]]="M",COUNTIF($I$2:$I28,"M"),IF(Table1567891314192021[[#This Row],[Category]]="F",COUNTIF($I$2:$I28,"F"),0)))</f>
        <v>10</v>
      </c>
      <c r="E28" s="34">
        <v>24</v>
      </c>
      <c r="F28" s="35">
        <v>4.4247685185185189E-2</v>
      </c>
      <c r="G28" s="36" t="s">
        <v>396</v>
      </c>
      <c r="H28" s="36" t="s">
        <v>168</v>
      </c>
      <c r="I28" s="37" t="s">
        <v>156</v>
      </c>
    </row>
    <row r="29" spans="1:9" x14ac:dyDescent="0.25">
      <c r="A29" s="27" t="str">
        <f>Table1567891314192021[[#This Row],[Full Name]]</f>
        <v>YEOMANS, Martin</v>
      </c>
      <c r="B29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29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13</v>
      </c>
      <c r="D29" s="7">
        <f>IF(Table1567891314192021[[#This Row],[Category]]="","",IF(Table1567891314192021[[#This Row],[Category]]="M",COUNTIF($I$2:$I29,"M"),IF(Table1567891314192021[[#This Row],[Category]]="F",COUNTIF($I$2:$I29,"F"),0)))</f>
        <v>18</v>
      </c>
      <c r="E29" s="34">
        <v>26</v>
      </c>
      <c r="F29" s="35">
        <v>4.4976851851851851E-2</v>
      </c>
      <c r="G29" s="36" t="s">
        <v>397</v>
      </c>
      <c r="H29" s="36" t="s">
        <v>10</v>
      </c>
      <c r="I29" s="37" t="s">
        <v>146</v>
      </c>
    </row>
    <row r="30" spans="1:9" x14ac:dyDescent="0.25">
      <c r="A30" s="27" t="str">
        <f>Table1567891314192021[[#This Row],[Full Name]]</f>
        <v>ATKINSON, Matt</v>
      </c>
      <c r="B30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30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12</v>
      </c>
      <c r="D30" s="7">
        <f>IF(Table1567891314192021[[#This Row],[Category]]="","",IF(Table1567891314192021[[#This Row],[Category]]="M",COUNTIF($I$2:$I30,"M"),IF(Table1567891314192021[[#This Row],[Category]]="F",COUNTIF($I$2:$I30,"F"),0)))</f>
        <v>19</v>
      </c>
      <c r="E30" s="34">
        <v>12</v>
      </c>
      <c r="F30" s="35">
        <v>4.5983796296296293E-2</v>
      </c>
      <c r="G30" s="36" t="s">
        <v>389</v>
      </c>
      <c r="H30" s="36" t="s">
        <v>244</v>
      </c>
      <c r="I30" s="37" t="s">
        <v>146</v>
      </c>
    </row>
    <row r="31" spans="1:9" x14ac:dyDescent="0.25">
      <c r="A31" s="27" t="str">
        <f>Table1567891314192021[[#This Row],[Full Name]]</f>
        <v>SINGLETON, Jill</v>
      </c>
      <c r="B31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>OK</v>
      </c>
      <c r="C31" s="29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>20</v>
      </c>
      <c r="D31" s="7">
        <f>IF(Table1567891314192021[[#This Row],[Category]]="","",IF(Table1567891314192021[[#This Row],[Category]]="M",COUNTIF($I$2:$I31,"M"),IF(Table1567891314192021[[#This Row],[Category]]="F",COUNTIF($I$2:$I31,"F"),0)))</f>
        <v>11</v>
      </c>
      <c r="E31" s="34">
        <v>27</v>
      </c>
      <c r="F31" s="35">
        <v>4.6516203703703705E-2</v>
      </c>
      <c r="G31" s="36" t="s">
        <v>269</v>
      </c>
      <c r="H31" s="36" t="s">
        <v>85</v>
      </c>
      <c r="I31" s="37" t="s">
        <v>156</v>
      </c>
    </row>
    <row r="32" spans="1:9" x14ac:dyDescent="0.25">
      <c r="A32" s="27">
        <f>Table1567891314192021[[#This Row],[Full Name]]</f>
        <v>0</v>
      </c>
      <c r="B32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2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2" s="7" t="str">
        <f>IF(Table1567891314192021[[#This Row],[Category]]="","",IF(Table1567891314192021[[#This Row],[Category]]="M",COUNTIF($I$2:$I32,"M"),IF(Table1567891314192021[[#This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Table1567891314192021[[#This Row],[Full Name]]</f>
        <v>0</v>
      </c>
      <c r="B33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3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3" s="7" t="str">
        <f>IF(Table1567891314192021[[#This Row],[Category]]="","",IF(Table1567891314192021[[#This Row],[Category]]="M",COUNTIF($I$2:$I33,"M"),IF(Table1567891314192021[[#This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Table1567891314192021[[#This Row],[Full Name]]</f>
        <v>0</v>
      </c>
      <c r="B34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4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4" s="7" t="str">
        <f>IF(Table1567891314192021[[#This Row],[Category]]="","",IF(Table1567891314192021[[#This Row],[Category]]="M",COUNTIF($I$2:$I34,"M"),IF(Table1567891314192021[[#This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Table1567891314192021[[#This Row],[Full Name]]</f>
        <v>0</v>
      </c>
      <c r="B35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5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5" s="7" t="str">
        <f>IF(Table1567891314192021[[#This Row],[Category]]="","",IF(Table1567891314192021[[#This Row],[Category]]="M",COUNTIF($I$2:$I35,"M"),IF(Table1567891314192021[[#This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Table1567891314192021[[#This Row],[Full Name]]</f>
        <v>0</v>
      </c>
      <c r="B36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6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6" s="7" t="str">
        <f>IF(Table1567891314192021[[#This Row],[Category]]="","",IF(Table1567891314192021[[#This Row],[Category]]="M",COUNTIF($I$2:$I36,"M"),IF(Table1567891314192021[[#This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Table1567891314192021[[#This Row],[Full Name]]</f>
        <v>0</v>
      </c>
      <c r="B37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7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7" s="7" t="str">
        <f>IF(Table1567891314192021[[#This Row],[Category]]="","",IF(Table1567891314192021[[#This Row],[Category]]="M",COUNTIF($I$2:$I37,"M"),IF(Table1567891314192021[[#This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Table1567891314192021[[#This Row],[Full Name]]</f>
        <v>0</v>
      </c>
      <c r="B38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8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8" s="7" t="str">
        <f>IF(Table1567891314192021[[#This Row],[Category]]="","",IF(Table1567891314192021[[#This Row],[Category]]="M",COUNTIF($I$2:$I38,"M"),IF(Table1567891314192021[[#This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Table1567891314192021[[#This Row],[Full Name]]</f>
        <v>0</v>
      </c>
      <c r="B39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39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39" s="7" t="str">
        <f>IF(Table1567891314192021[[#This Row],[Category]]="","",IF(Table1567891314192021[[#This Row],[Category]]="M",COUNTIF($I$2:$I39,"M"),IF(Table1567891314192021[[#This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Table1567891314192021[[#This Row],[Full Name]]</f>
        <v>0</v>
      </c>
      <c r="B40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0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0" s="7" t="str">
        <f>IF(Table1567891314192021[[#This Row],[Category]]="","",IF(Table1567891314192021[[#This Row],[Category]]="M",COUNTIF($I$2:$I40,"M"),IF(Table1567891314192021[[#This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Table1567891314192021[[#This Row],[Full Name]]</f>
        <v>0</v>
      </c>
      <c r="B41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1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1" s="7" t="str">
        <f>IF(Table1567891314192021[[#This Row],[Category]]="","",IF(Table1567891314192021[[#This Row],[Category]]="M",COUNTIF($I$2:$I41,"M"),IF(Table1567891314192021[[#This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Table1567891314192021[[#This Row],[Full Name]]</f>
        <v>0</v>
      </c>
      <c r="B42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2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2" s="7" t="str">
        <f>IF(Table1567891314192021[[#This Row],[Category]]="","",IF(Table1567891314192021[[#This Row],[Category]]="M",COUNTIF($I$2:$I42,"M"),IF(Table1567891314192021[[#This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Table1567891314192021[[#This Row],[Full Name]]</f>
        <v>0</v>
      </c>
      <c r="B43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3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3" s="7" t="str">
        <f>IF(Table1567891314192021[[#This Row],[Category]]="","",IF(Table1567891314192021[[#This Row],[Category]]="M",COUNTIF($I$2:$I43,"M"),IF(Table1567891314192021[[#This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Table1567891314192021[[#This Row],[Full Name]]</f>
        <v>0</v>
      </c>
      <c r="B44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4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4" s="7" t="str">
        <f>IF(Table1567891314192021[[#This Row],[Category]]="","",IF(Table1567891314192021[[#This Row],[Category]]="M",COUNTIF($I$2:$I44,"M"),IF(Table1567891314192021[[#This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Table1567891314192021[[#This Row],[Full Name]]</f>
        <v>0</v>
      </c>
      <c r="B45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5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5" s="7" t="str">
        <f>IF(Table1567891314192021[[#This Row],[Category]]="","",IF(Table1567891314192021[[#This Row],[Category]]="M",COUNTIF($I$2:$I45,"M"),IF(Table1567891314192021[[#This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Table1567891314192021[[#This Row],[Full Name]]</f>
        <v>0</v>
      </c>
      <c r="B46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6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6" s="7" t="str">
        <f>IF(Table1567891314192021[[#This Row],[Category]]="","",IF(Table1567891314192021[[#This Row],[Category]]="M",COUNTIF($I$2:$I46,"M"),IF(Table1567891314192021[[#This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Table1567891314192021[[#This Row],[Full Name]]</f>
        <v>0</v>
      </c>
      <c r="B47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7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7" s="7" t="str">
        <f>IF(Table1567891314192021[[#This Row],[Category]]="","",IF(Table1567891314192021[[#This Row],[Category]]="M",COUNTIF($I$2:$I47,"M"),IF(Table1567891314192021[[#This Row],[Category]]="F",COUNTIF($I$2:$I47,"F"),0)))</f>
        <v/>
      </c>
      <c r="E47" s="34"/>
      <c r="F47" s="35"/>
      <c r="G47" s="36"/>
      <c r="H47" s="36"/>
      <c r="I47" s="37"/>
    </row>
    <row r="48" spans="1:9" x14ac:dyDescent="0.25">
      <c r="A48" s="27">
        <f>Table1567891314192021[[#This Row],[Full Name]]</f>
        <v>0</v>
      </c>
      <c r="B48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8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8" s="7" t="str">
        <f>IF(Table1567891314192021[[#This Row],[Category]]="","",IF(Table1567891314192021[[#This Row],[Category]]="M",COUNTIF($I$2:$I48,"M"),IF(Table1567891314192021[[#This Row],[Category]]="F",COUNTIF($I$2:$I48,"F"),0)))</f>
        <v/>
      </c>
      <c r="E48" s="34"/>
      <c r="F48" s="35"/>
      <c r="G48" s="36"/>
      <c r="H48" s="36"/>
      <c r="I48" s="37"/>
    </row>
    <row r="49" spans="1:9" x14ac:dyDescent="0.25">
      <c r="A49" s="27">
        <f>Table1567891314192021[[#This Row],[Full Name]]</f>
        <v>0</v>
      </c>
      <c r="B49" s="29" t="str">
        <f>IF(Table1567891314192021[[#This Row],[Full Name]]="","",IF(IFERROR(IFERROR(VLOOKUP(Table1567891314192021[[#This Row],[Full Name]],'Mens League'!B:B,1,FALSE),VLOOKUP(Table1567891314192021[[#This Row],[Full Name]],'Women''s League'!B:B,1,FALSE)),"NEEDS ADDING")="NEEDS ADDING","NEEDS ADDING","OK"))</f>
        <v/>
      </c>
      <c r="C49" s="29" t="str">
        <f>IF(Table1567891314192021[[#This Row],[Position]]="","",IF(Table1567891314192021[[#This Row],[Rank]]=1,30,IF(Table1567891314192021[[#This Row],[Rank]]=2,29,IF(Table1567891314192021[[#This Row],[Rank]]=3,28,IF(Table1567891314192021[[#This Row],[Rank]]=4,27,IF(Table1567891314192021[[#This Row],[Rank]]=5,26,IF(Table1567891314192021[[#This Row],[Rank]]=6,25,IF(Table1567891314192021[[#This Row],[Rank]]=7,24,IF(Table1567891314192021[[#This Row],[Rank]]=8,23,IF(Table1567891314192021[[#This Row],[Rank]]=9,22,IF(Table1567891314192021[[#This Row],[Rank]]=10,21,IF(Table1567891314192021[[#This Row],[Rank]]=11,20,IF(Table1567891314192021[[#This Row],[Rank]]=12,19,IF(Table1567891314192021[[#This Row],[Rank]]=13,18,IF(Table1567891314192021[[#This Row],[Rank]]=14,17,IF(Table1567891314192021[[#This Row],[Rank]]=15,16,IF(Table1567891314192021[[#This Row],[Rank]]=16,15,IF(Table1567891314192021[[#This Row],[Rank]]=17,14,IF(Table1567891314192021[[#This Row],[Rank]]=18,13,IF(Table1567891314192021[[#This Row],[Rank]]=19,12,IF(Table1567891314192021[[#This Row],[Rank]]=20,11,IF(Table1567891314192021[[#This Row],[Rank]]=21,10,IF(Table1567891314192021[[#This Row],[Rank]]=22,9,IF(Table1567891314192021[[#This Row],[Rank]]=23,8,IF(Table1567891314192021[[#This Row],[Rank]]=24,7,IF(Table1567891314192021[[#This Row],[Rank]]=25,6,IF(Table1567891314192021[[#This Row],[Rank]]=26,5,IF(Table1567891314192021[[#This Row],[Rank]]=27,4,IF(Table1567891314192021[[#This Row],[Rank]]=28,3,IF(Table1567891314192021[[#This Row],[Rank]]=29,2,IF(Table1567891314192021[[#This Row],[Rank]]=30,1,0)))))))))))))))))))))))))))))))</f>
        <v/>
      </c>
      <c r="D49" s="7" t="str">
        <f>IF(Table1567891314192021[[#This Row],[Category]]="","",IF(Table1567891314192021[[#This Row],[Category]]="M",COUNTIF($I$2:$I49,"M"),IF(Table1567891314192021[[#This Row],[Category]]="F",COUNTIF($I$2:$I49,"F"),0)))</f>
        <v/>
      </c>
      <c r="E49" s="34"/>
      <c r="F49" s="35"/>
      <c r="G49" s="36"/>
      <c r="H49" s="36"/>
      <c r="I49" s="37"/>
    </row>
  </sheetData>
  <phoneticPr fontId="11" type="noConversion"/>
  <conditionalFormatting sqref="B2:B49">
    <cfRule type="containsText" dxfId="9" priority="1" operator="containsText" text="OK">
      <formula>NOT(ISERROR(SEARCH("OK",B2)))</formula>
    </cfRule>
    <cfRule type="containsText" dxfId="8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68B8-33FA-4BFA-A2B0-A44920C72D8C}">
  <sheetPr>
    <tabColor rgb="FF00B0F0"/>
  </sheetPr>
  <dimension ref="A1:I46"/>
  <sheetViews>
    <sheetView topLeftCell="B1" workbookViewId="0">
      <selection activeCell="P7" sqref="P7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Table15151617[[#This Row],[Full Name]]</f>
        <v>PLEASS, Matt</v>
      </c>
      <c r="B2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30</v>
      </c>
      <c r="D2" s="7">
        <f>IF(Table15151617[[#This Row],[Category]]="","",IF(Table15151617[[#This Row],[Category]]="M",COUNTIF($I$2:$I2,"M"),IF(Table15151617[[#This Row],[Category]]="F",COUNTIF($I$2:$I2,"F"),0)))</f>
        <v>1</v>
      </c>
      <c r="E2" s="34">
        <v>8</v>
      </c>
      <c r="F2" s="35">
        <v>2.0694444444444446E-2</v>
      </c>
      <c r="G2" s="36" t="s">
        <v>400</v>
      </c>
      <c r="H2" s="36" t="s">
        <v>69</v>
      </c>
      <c r="I2" s="52" t="s">
        <v>146</v>
      </c>
    </row>
    <row r="3" spans="1:9" x14ac:dyDescent="0.25">
      <c r="A3" s="26" t="str">
        <f>Table15151617[[#This Row],[Full Name]]</f>
        <v>SIDANI, Ramzi</v>
      </c>
      <c r="B3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3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29</v>
      </c>
      <c r="D3" s="7">
        <f>IF(Table15151617[[#This Row],[Category]]="","",IF(Table15151617[[#This Row],[Category]]="M",COUNTIF($I$2:$I3,"M"),IF(Table15151617[[#This Row],[Category]]="F",COUNTIF($I$2:$I3,"F"),0)))</f>
        <v>2</v>
      </c>
      <c r="E3" s="34">
        <v>11</v>
      </c>
      <c r="F3" s="35">
        <v>2.0937500000000001E-2</v>
      </c>
      <c r="G3" s="36" t="s">
        <v>401</v>
      </c>
      <c r="H3" s="36" t="s">
        <v>1</v>
      </c>
      <c r="I3" s="52" t="s">
        <v>146</v>
      </c>
    </row>
    <row r="4" spans="1:9" ht="29.25" x14ac:dyDescent="0.25">
      <c r="A4" s="26" t="str">
        <f>Table15151617[[#This Row],[Full Name]]</f>
        <v>BLADON-COPE, Daniel</v>
      </c>
      <c r="B4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4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28</v>
      </c>
      <c r="D4" s="7">
        <f>IF(Table15151617[[#This Row],[Category]]="","",IF(Table15151617[[#This Row],[Category]]="M",COUNTIF($I$2:$I4,"M"),IF(Table15151617[[#This Row],[Category]]="F",COUNTIF($I$2:$I4,"F"),0)))</f>
        <v>3</v>
      </c>
      <c r="E4" s="34">
        <v>18</v>
      </c>
      <c r="F4" s="35">
        <v>2.1423611111111112E-2</v>
      </c>
      <c r="G4" s="36" t="s">
        <v>402</v>
      </c>
      <c r="H4" s="36" t="s">
        <v>282</v>
      </c>
      <c r="I4" s="52" t="s">
        <v>146</v>
      </c>
    </row>
    <row r="5" spans="1:9" x14ac:dyDescent="0.25">
      <c r="A5" s="26" t="str">
        <f>Table15151617[[#This Row],[Full Name]]</f>
        <v>DUNNING, Phil</v>
      </c>
      <c r="B5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5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27</v>
      </c>
      <c r="D5" s="7">
        <f>IF(Table15151617[[#This Row],[Category]]="","",IF(Table15151617[[#This Row],[Category]]="M",COUNTIF($I$2:$I5,"M"),IF(Table15151617[[#This Row],[Category]]="F",COUNTIF($I$2:$I5,"F"),0)))</f>
        <v>4</v>
      </c>
      <c r="E5" s="34">
        <v>19</v>
      </c>
      <c r="F5" s="35">
        <v>2.1597222222222223E-2</v>
      </c>
      <c r="G5" s="36" t="s">
        <v>403</v>
      </c>
      <c r="H5" s="36" t="s">
        <v>227</v>
      </c>
      <c r="I5" s="52" t="s">
        <v>146</v>
      </c>
    </row>
    <row r="6" spans="1:9" x14ac:dyDescent="0.25">
      <c r="A6" s="26" t="str">
        <f>Table15151617[[#This Row],[Full Name]]</f>
        <v>BOLTON, Ian</v>
      </c>
      <c r="B6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6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26</v>
      </c>
      <c r="D6" s="7">
        <f>IF(Table15151617[[#This Row],[Category]]="","",IF(Table15151617[[#This Row],[Category]]="M",COUNTIF($I$2:$I6,"M"),IF(Table15151617[[#This Row],[Category]]="F",COUNTIF($I$2:$I6,"F"),0)))</f>
        <v>5</v>
      </c>
      <c r="E6" s="34">
        <v>23</v>
      </c>
      <c r="F6" s="35">
        <v>2.1990740740740741E-2</v>
      </c>
      <c r="G6" s="36" t="s">
        <v>319</v>
      </c>
      <c r="H6" s="36" t="s">
        <v>5</v>
      </c>
      <c r="I6" s="52" t="s">
        <v>146</v>
      </c>
    </row>
    <row r="7" spans="1:9" ht="29.25" x14ac:dyDescent="0.25">
      <c r="A7" s="26" t="str">
        <f>Table15151617[[#This Row],[Full Name]]</f>
        <v>BLADON-COPE, Jordan</v>
      </c>
      <c r="B7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7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25</v>
      </c>
      <c r="D7" s="7">
        <f>IF(Table15151617[[#This Row],[Category]]="","",IF(Table15151617[[#This Row],[Category]]="M",COUNTIF($I$2:$I7,"M"),IF(Table15151617[[#This Row],[Category]]="F",COUNTIF($I$2:$I7,"F"),0)))</f>
        <v>6</v>
      </c>
      <c r="E7" s="34">
        <v>27</v>
      </c>
      <c r="F7" s="35">
        <v>2.2349537037037036E-2</v>
      </c>
      <c r="G7" s="36" t="s">
        <v>404</v>
      </c>
      <c r="H7" s="36" t="s">
        <v>283</v>
      </c>
      <c r="I7" s="52" t="s">
        <v>146</v>
      </c>
    </row>
    <row r="8" spans="1:9" x14ac:dyDescent="0.25">
      <c r="A8" s="26" t="str">
        <f>Table15151617[[#This Row],[Full Name]]</f>
        <v>GILES, George</v>
      </c>
      <c r="B8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8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24</v>
      </c>
      <c r="D8" s="7">
        <f>IF(Table15151617[[#This Row],[Category]]="","",IF(Table15151617[[#This Row],[Category]]="M",COUNTIF($I$2:$I8,"M"),IF(Table15151617[[#This Row],[Category]]="F",COUNTIF($I$2:$I8,"F"),0)))</f>
        <v>7</v>
      </c>
      <c r="E8" s="34">
        <v>29</v>
      </c>
      <c r="F8" s="35">
        <v>2.2488425925925926E-2</v>
      </c>
      <c r="G8" s="36" t="s">
        <v>324</v>
      </c>
      <c r="H8" s="36" t="s">
        <v>128</v>
      </c>
      <c r="I8" s="52" t="s">
        <v>146</v>
      </c>
    </row>
    <row r="9" spans="1:9" x14ac:dyDescent="0.25">
      <c r="A9" s="26" t="str">
        <f>Table15151617[[#This Row],[Full Name]]</f>
        <v>BROWN, Jamie</v>
      </c>
      <c r="B9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9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23</v>
      </c>
      <c r="D9" s="7">
        <f>IF(Table15151617[[#This Row],[Category]]="","",IF(Table15151617[[#This Row],[Category]]="M",COUNTIF($I$2:$I9,"M"),IF(Table15151617[[#This Row],[Category]]="F",COUNTIF($I$2:$I9,"F"),0)))</f>
        <v>8</v>
      </c>
      <c r="E9" s="34">
        <v>31</v>
      </c>
      <c r="F9" s="35">
        <v>2.255787037037037E-2</v>
      </c>
      <c r="G9" s="36" t="s">
        <v>228</v>
      </c>
      <c r="H9" s="36" t="s">
        <v>346</v>
      </c>
      <c r="I9" s="52" t="s">
        <v>146</v>
      </c>
    </row>
    <row r="10" spans="1:9" x14ac:dyDescent="0.25">
      <c r="A10" s="26" t="str">
        <f>Table15151617[[#This Row],[Full Name]]</f>
        <v>WIDEMAN, Oliver</v>
      </c>
      <c r="B10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0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22</v>
      </c>
      <c r="D10" s="69">
        <f>IF(Table15151617[[#This Row],[Category]]="","",IF(Table15151617[[#This Row],[Category]]="M",COUNTIF($I$2:$I10,"M"),IF(Table15151617[[#This Row],[Category]]="F",COUNTIF($I$2:$I10,"F"),0)))</f>
        <v>9</v>
      </c>
      <c r="E10" s="34">
        <v>33</v>
      </c>
      <c r="F10" s="53">
        <v>2.2777777777777779E-2</v>
      </c>
      <c r="G10" s="54" t="s">
        <v>345</v>
      </c>
      <c r="H10" s="54" t="s">
        <v>304</v>
      </c>
      <c r="I10" s="55" t="s">
        <v>146</v>
      </c>
    </row>
    <row r="11" spans="1:9" x14ac:dyDescent="0.25">
      <c r="A11" s="26" t="str">
        <f>Table15151617[[#This Row],[Full Name]]</f>
        <v>CODD, Paul</v>
      </c>
      <c r="B11" s="28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1" s="28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21</v>
      </c>
      <c r="D11" s="7">
        <f>IF(Table15151617[[#This Row],[Category]]="","",IF(Table15151617[[#This Row],[Category]]="M",COUNTIF($I$2:$I11,"M"),IF(Table15151617[[#This Row],[Category]]="F",COUNTIF($I$2:$I11,"F"),0)))</f>
        <v>10</v>
      </c>
      <c r="E11" s="34">
        <v>35</v>
      </c>
      <c r="F11" s="35">
        <v>2.2835648148148147E-2</v>
      </c>
      <c r="G11" s="36" t="s">
        <v>361</v>
      </c>
      <c r="H11" s="36" t="s">
        <v>48</v>
      </c>
      <c r="I11" s="52" t="s">
        <v>146</v>
      </c>
    </row>
    <row r="12" spans="1:9" x14ac:dyDescent="0.25">
      <c r="A12" s="27" t="str">
        <f>Table15151617[[#This Row],[Full Name]]</f>
        <v>WIDEMAN, Emily</v>
      </c>
      <c r="B12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2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30</v>
      </c>
      <c r="D12" s="7">
        <f>IF(Table15151617[[#This Row],[Category]]="","",IF(Table15151617[[#This Row],[Category]]="M",COUNTIF($I$2:$I12,"M"),IF(Table15151617[[#This Row],[Category]]="F",COUNTIF($I$2:$I12,"F"),0)))</f>
        <v>1</v>
      </c>
      <c r="E12" s="34">
        <v>36</v>
      </c>
      <c r="F12" s="35">
        <v>2.3020833333333334E-2</v>
      </c>
      <c r="G12" s="36" t="s">
        <v>405</v>
      </c>
      <c r="H12" s="36" t="s">
        <v>38</v>
      </c>
      <c r="I12" s="52" t="s">
        <v>156</v>
      </c>
    </row>
    <row r="13" spans="1:9" x14ac:dyDescent="0.25">
      <c r="A13" s="27" t="str">
        <f>Table15151617[[#This Row],[Full Name]]</f>
        <v>MONAGHAN, Amelia</v>
      </c>
      <c r="B13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3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29</v>
      </c>
      <c r="D13" s="7">
        <f>IF(Table15151617[[#This Row],[Category]]="","",IF(Table15151617[[#This Row],[Category]]="M",COUNTIF($I$2:$I13,"M"),IF(Table15151617[[#This Row],[Category]]="F",COUNTIF($I$2:$I13,"F"),0)))</f>
        <v>2</v>
      </c>
      <c r="E13" s="34">
        <v>38</v>
      </c>
      <c r="F13" s="35">
        <v>2.3333333333333334E-2</v>
      </c>
      <c r="G13" s="36" t="s">
        <v>406</v>
      </c>
      <c r="H13" s="36" t="s">
        <v>93</v>
      </c>
      <c r="I13" s="52" t="s">
        <v>156</v>
      </c>
    </row>
    <row r="14" spans="1:9" x14ac:dyDescent="0.25">
      <c r="A14" s="27" t="str">
        <f>Table15151617[[#This Row],[Full Name]]</f>
        <v>BLAND, Damon</v>
      </c>
      <c r="B14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4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20</v>
      </c>
      <c r="D14" s="7">
        <f>IF(Table15151617[[#This Row],[Category]]="","",IF(Table15151617[[#This Row],[Category]]="M",COUNTIF($I$2:$I14,"M"),IF(Table15151617[[#This Row],[Category]]="F",COUNTIF($I$2:$I14,"F"),0)))</f>
        <v>11</v>
      </c>
      <c r="E14" s="34">
        <v>47</v>
      </c>
      <c r="F14" s="35">
        <v>2.4409722222222222E-2</v>
      </c>
      <c r="G14" s="36" t="s">
        <v>329</v>
      </c>
      <c r="H14" s="36" t="s">
        <v>9</v>
      </c>
      <c r="I14" s="52" t="s">
        <v>146</v>
      </c>
    </row>
    <row r="15" spans="1:9" x14ac:dyDescent="0.25">
      <c r="A15" s="27" t="str">
        <f>Table15151617[[#This Row],[Full Name]]</f>
        <v>ALLSOP, Andrew</v>
      </c>
      <c r="B15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5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19</v>
      </c>
      <c r="D15" s="7">
        <f>IF(Table15151617[[#This Row],[Category]]="","",IF(Table15151617[[#This Row],[Category]]="M",COUNTIF($I$2:$I15,"M"),IF(Table15151617[[#This Row],[Category]]="F",COUNTIF($I$2:$I15,"F"),0)))</f>
        <v>12</v>
      </c>
      <c r="E15" s="34">
        <v>55</v>
      </c>
      <c r="F15" s="35">
        <v>2.4907407407407406E-2</v>
      </c>
      <c r="G15" s="36" t="s">
        <v>231</v>
      </c>
      <c r="H15" s="36" t="s">
        <v>177</v>
      </c>
      <c r="I15" s="52" t="s">
        <v>146</v>
      </c>
    </row>
    <row r="16" spans="1:9" x14ac:dyDescent="0.25">
      <c r="A16" s="27" t="str">
        <f>Table15151617[[#This Row],[Full Name]]</f>
        <v>BARNES, Louis</v>
      </c>
      <c r="B16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6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18</v>
      </c>
      <c r="D16" s="7">
        <f>IF(Table15151617[[#This Row],[Category]]="","",IF(Table15151617[[#This Row],[Category]]="M",COUNTIF($I$2:$I16,"M"),IF(Table15151617[[#This Row],[Category]]="F",COUNTIF($I$2:$I16,"F"),0)))</f>
        <v>13</v>
      </c>
      <c r="E16" s="34">
        <v>65</v>
      </c>
      <c r="F16" s="35">
        <v>2.5462962962962962E-2</v>
      </c>
      <c r="G16" s="36" t="s">
        <v>364</v>
      </c>
      <c r="H16" s="36" t="s">
        <v>4</v>
      </c>
      <c r="I16" s="52" t="s">
        <v>146</v>
      </c>
    </row>
    <row r="17" spans="1:9" x14ac:dyDescent="0.25">
      <c r="A17" s="27" t="str">
        <f>Table15151617[[#This Row],[Full Name]]</f>
        <v>DUNNING, Chloe</v>
      </c>
      <c r="B17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7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28</v>
      </c>
      <c r="D17" s="7">
        <f>IF(Table15151617[[#This Row],[Category]]="","",IF(Table15151617[[#This Row],[Category]]="M",COUNTIF($I$2:$I17,"M"),IF(Table15151617[[#This Row],[Category]]="F",COUNTIF($I$2:$I17,"F"),0)))</f>
        <v>3</v>
      </c>
      <c r="E17" s="34">
        <v>66</v>
      </c>
      <c r="F17" s="35">
        <v>2.5567129629629631E-2</v>
      </c>
      <c r="G17" s="36" t="s">
        <v>407</v>
      </c>
      <c r="H17" s="36" t="s">
        <v>376</v>
      </c>
      <c r="I17" s="52" t="s">
        <v>156</v>
      </c>
    </row>
    <row r="18" spans="1:9" x14ac:dyDescent="0.25">
      <c r="A18" s="27" t="str">
        <f>Table15151617[[#This Row],[Full Name]]</f>
        <v>BOTTRILL, Andrew</v>
      </c>
      <c r="B18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8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17</v>
      </c>
      <c r="D18" s="7">
        <f>IF(Table15151617[[#This Row],[Category]]="","",IF(Table15151617[[#This Row],[Category]]="M",COUNTIF($I$2:$I18,"M"),IF(Table15151617[[#This Row],[Category]]="F",COUNTIF($I$2:$I18,"F"),0)))</f>
        <v>14</v>
      </c>
      <c r="E18" s="34">
        <v>70</v>
      </c>
      <c r="F18" s="35">
        <v>2.5949074074074076E-2</v>
      </c>
      <c r="G18" s="36" t="s">
        <v>145</v>
      </c>
      <c r="H18" s="36" t="s">
        <v>30</v>
      </c>
      <c r="I18" s="52" t="s">
        <v>146</v>
      </c>
    </row>
    <row r="19" spans="1:9" x14ac:dyDescent="0.25">
      <c r="A19" s="27" t="str">
        <f>Table15151617[[#This Row],[Full Name]]</f>
        <v>BRADFORD, Mark</v>
      </c>
      <c r="B19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19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16</v>
      </c>
      <c r="D19" s="7">
        <f>IF(Table15151617[[#This Row],[Category]]="","",IF(Table15151617[[#This Row],[Category]]="M",COUNTIF($I$2:$I19,"M"),IF(Table15151617[[#This Row],[Category]]="F",COUNTIF($I$2:$I19,"F"),0)))</f>
        <v>15</v>
      </c>
      <c r="E19" s="34">
        <v>74</v>
      </c>
      <c r="F19" s="35">
        <v>2.2002314814814815E-2</v>
      </c>
      <c r="G19" s="36" t="s">
        <v>319</v>
      </c>
      <c r="H19" s="36" t="s">
        <v>7</v>
      </c>
      <c r="I19" s="52" t="s">
        <v>146</v>
      </c>
    </row>
    <row r="20" spans="1:9" x14ac:dyDescent="0.25">
      <c r="A20" s="27" t="str">
        <f>Table15151617[[#This Row],[Full Name]]</f>
        <v>SMITH, Victoria</v>
      </c>
      <c r="B20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0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27</v>
      </c>
      <c r="D20" s="7">
        <f>IF(Table15151617[[#This Row],[Category]]="","",IF(Table15151617[[#This Row],[Category]]="M",COUNTIF($I$2:$I20,"M"),IF(Table15151617[[#This Row],[Category]]="F",COUNTIF($I$2:$I20,"F"),0)))</f>
        <v>4</v>
      </c>
      <c r="E20" s="34">
        <v>80</v>
      </c>
      <c r="F20" s="35">
        <v>2.6516203703703705E-2</v>
      </c>
      <c r="G20" s="36" t="s">
        <v>333</v>
      </c>
      <c r="H20" s="36" t="s">
        <v>41</v>
      </c>
      <c r="I20" s="52" t="s">
        <v>156</v>
      </c>
    </row>
    <row r="21" spans="1:9" x14ac:dyDescent="0.25">
      <c r="A21" s="27" t="str">
        <f>Table15151617[[#This Row],[Full Name]]</f>
        <v>GRAVES, Laura</v>
      </c>
      <c r="B21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1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26</v>
      </c>
      <c r="D21" s="7">
        <f>IF(Table15151617[[#This Row],[Category]]="","",IF(Table15151617[[#This Row],[Category]]="M",COUNTIF($I$2:$I21,"M"),IF(Table15151617[[#This Row],[Category]]="F",COUNTIF($I$2:$I21,"F"),0)))</f>
        <v>5</v>
      </c>
      <c r="E21" s="34">
        <v>94</v>
      </c>
      <c r="F21" s="35">
        <v>2.8101851851851854E-2</v>
      </c>
      <c r="G21" s="36" t="s">
        <v>261</v>
      </c>
      <c r="H21" s="36" t="s">
        <v>13</v>
      </c>
      <c r="I21" s="52" t="s">
        <v>156</v>
      </c>
    </row>
    <row r="22" spans="1:9" x14ac:dyDescent="0.25">
      <c r="A22" s="27" t="str">
        <f>Table15151617[[#This Row],[Full Name]]</f>
        <v>POWDRILL, Neil</v>
      </c>
      <c r="B22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2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15</v>
      </c>
      <c r="D22" s="7">
        <f>IF(Table15151617[[#This Row],[Category]]="","",IF(Table15151617[[#This Row],[Category]]="M",COUNTIF($I$2:$I22,"M"),IF(Table15151617[[#This Row],[Category]]="F",COUNTIF($I$2:$I22,"F"),0)))</f>
        <v>16</v>
      </c>
      <c r="E22" s="34">
        <v>102</v>
      </c>
      <c r="F22" s="35">
        <v>2.8738425925925924E-2</v>
      </c>
      <c r="G22" s="36" t="s">
        <v>349</v>
      </c>
      <c r="H22" s="36" t="s">
        <v>222</v>
      </c>
      <c r="I22" s="52" t="s">
        <v>146</v>
      </c>
    </row>
    <row r="23" spans="1:9" x14ac:dyDescent="0.25">
      <c r="A23" s="27" t="str">
        <f>Table15151617[[#This Row],[Full Name]]</f>
        <v>TAIT, Susan</v>
      </c>
      <c r="B23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3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25</v>
      </c>
      <c r="D23" s="7">
        <f>IF(Table15151617[[#This Row],[Category]]="","",IF(Table15151617[[#This Row],[Category]]="M",COUNTIF($I$2:$I23,"M"),IF(Table15151617[[#This Row],[Category]]="F",COUNTIF($I$2:$I23,"F"),0)))</f>
        <v>6</v>
      </c>
      <c r="E23" s="34">
        <v>114</v>
      </c>
      <c r="F23" s="35">
        <v>3.0034722222222223E-2</v>
      </c>
      <c r="G23" s="36" t="s">
        <v>265</v>
      </c>
      <c r="H23" s="36" t="s">
        <v>58</v>
      </c>
      <c r="I23" s="52" t="s">
        <v>156</v>
      </c>
    </row>
    <row r="24" spans="1:9" x14ac:dyDescent="0.25">
      <c r="A24" s="27" t="str">
        <f>Table15151617[[#This Row],[Full Name]]</f>
        <v>BOLTON, Ellen</v>
      </c>
      <c r="B24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4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24</v>
      </c>
      <c r="D24" s="7">
        <f>IF(Table15151617[[#This Row],[Category]]="","",IF(Table15151617[[#This Row],[Category]]="M",COUNTIF($I$2:$I24,"M"),IF(Table15151617[[#This Row],[Category]]="F",COUNTIF($I$2:$I24,"F"),0)))</f>
        <v>7</v>
      </c>
      <c r="E24" s="34">
        <v>121</v>
      </c>
      <c r="F24" s="35">
        <v>3.0590277777777779E-2</v>
      </c>
      <c r="G24" s="36" t="s">
        <v>378</v>
      </c>
      <c r="H24" s="36" t="s">
        <v>133</v>
      </c>
      <c r="I24" s="52" t="s">
        <v>156</v>
      </c>
    </row>
    <row r="25" spans="1:9" x14ac:dyDescent="0.25">
      <c r="A25" s="27" t="str">
        <f>Table15151617[[#This Row],[Full Name]]</f>
        <v>BULL, Sarah</v>
      </c>
      <c r="B25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5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23</v>
      </c>
      <c r="D25" s="7">
        <f>IF(Table15151617[[#This Row],[Category]]="","",IF(Table15151617[[#This Row],[Category]]="M",COUNTIF($I$2:$I25,"M"),IF(Table15151617[[#This Row],[Category]]="F",COUNTIF($I$2:$I25,"F"),0)))</f>
        <v>8</v>
      </c>
      <c r="E25" s="34">
        <v>124</v>
      </c>
      <c r="F25" s="35">
        <v>3.0636574074074073E-2</v>
      </c>
      <c r="G25" s="36" t="s">
        <v>380</v>
      </c>
      <c r="H25" s="36" t="s">
        <v>379</v>
      </c>
      <c r="I25" s="52" t="s">
        <v>156</v>
      </c>
    </row>
    <row r="26" spans="1:9" x14ac:dyDescent="0.25">
      <c r="A26" s="27" t="str">
        <f>Table15151617[[#This Row],[Full Name]]</f>
        <v>MUMMERY, Ismay</v>
      </c>
      <c r="B26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6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22</v>
      </c>
      <c r="D26" s="7">
        <f>IF(Table15151617[[#This Row],[Category]]="","",IF(Table15151617[[#This Row],[Category]]="M",COUNTIF($I$2:$I26,"M"),IF(Table15151617[[#This Row],[Category]]="F",COUNTIF($I$2:$I26,"F"),0)))</f>
        <v>9</v>
      </c>
      <c r="E26" s="34">
        <v>126</v>
      </c>
      <c r="F26" s="35">
        <v>3.0833333333333334E-2</v>
      </c>
      <c r="G26" s="36" t="s">
        <v>352</v>
      </c>
      <c r="H26" s="36" t="s">
        <v>168</v>
      </c>
      <c r="I26" s="52" t="s">
        <v>156</v>
      </c>
    </row>
    <row r="27" spans="1:9" x14ac:dyDescent="0.25">
      <c r="A27" s="27" t="str">
        <f>Table15151617[[#This Row],[Full Name]]</f>
        <v>ATKINSON, Matt</v>
      </c>
      <c r="B27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7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14</v>
      </c>
      <c r="D27" s="7">
        <f>IF(Table15151617[[#This Row],[Category]]="","",IF(Table15151617[[#This Row],[Category]]="M",COUNTIF($I$2:$I27,"M"),IF(Table15151617[[#This Row],[Category]]="F",COUNTIF($I$2:$I27,"F"),0)))</f>
        <v>17</v>
      </c>
      <c r="E27" s="34">
        <v>141</v>
      </c>
      <c r="F27" s="35">
        <v>3.2233796296296295E-2</v>
      </c>
      <c r="G27" s="36" t="s">
        <v>415</v>
      </c>
      <c r="H27" s="36" t="s">
        <v>244</v>
      </c>
      <c r="I27" s="52" t="s">
        <v>146</v>
      </c>
    </row>
    <row r="28" spans="1:9" x14ac:dyDescent="0.25">
      <c r="A28" s="27" t="str">
        <f>Table15151617[[#This Row],[Full Name]]</f>
        <v>TOWLE, Grania</v>
      </c>
      <c r="B28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>OK</v>
      </c>
      <c r="C28" s="29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>21</v>
      </c>
      <c r="D28" s="7">
        <f>IF(Table15151617[[#This Row],[Category]]="","",IF(Table15151617[[#This Row],[Category]]="M",COUNTIF($I$2:$I28,"M"),IF(Table15151617[[#This Row],[Category]]="F",COUNTIF($I$2:$I28,"F"),0)))</f>
        <v>10</v>
      </c>
      <c r="E28" s="34">
        <v>181</v>
      </c>
      <c r="F28" s="35">
        <v>3.8715277777777779E-2</v>
      </c>
      <c r="G28" s="36" t="s">
        <v>408</v>
      </c>
      <c r="H28" s="36" t="s">
        <v>15</v>
      </c>
      <c r="I28" s="52" t="s">
        <v>156</v>
      </c>
    </row>
    <row r="29" spans="1:9" x14ac:dyDescent="0.25">
      <c r="A29" s="27">
        <f>Table15151617[[#This Row],[Full Name]]</f>
        <v>0</v>
      </c>
      <c r="B29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29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29" s="7" t="str">
        <f>IF(Table15151617[[#This Row],[Category]]="","",IF(Table15151617[[#This Row],[Category]]="M",COUNTIF($I$2:$I29,"M"),IF(Table15151617[[#This Row],[Category]]="F",COUNTIF($I$2:$I29,"F"),0)))</f>
        <v/>
      </c>
      <c r="E29" s="34"/>
      <c r="F29" s="35"/>
      <c r="G29" s="36"/>
      <c r="H29" s="36"/>
      <c r="I29" s="37"/>
    </row>
    <row r="30" spans="1:9" x14ac:dyDescent="0.25">
      <c r="A30" s="27">
        <f>Table15151617[[#This Row],[Full Name]]</f>
        <v>0</v>
      </c>
      <c r="B30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0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0" s="7" t="str">
        <f>IF(Table15151617[[#This Row],[Category]]="","",IF(Table15151617[[#This Row],[Category]]="M",COUNTIF($I$2:$I30,"M"),IF(Table15151617[[#This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Table15151617[[#This Row],[Full Name]]</f>
        <v>0</v>
      </c>
      <c r="B31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1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1" s="7" t="str">
        <f>IF(Table15151617[[#This Row],[Category]]="","",IF(Table15151617[[#This Row],[Category]]="M",COUNTIF($I$2:$I31,"M"),IF(Table15151617[[#This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Table15151617[[#This Row],[Full Name]]</f>
        <v>0</v>
      </c>
      <c r="B32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2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2" s="7" t="str">
        <f>IF(Table15151617[[#This Row],[Category]]="","",IF(Table15151617[[#This Row],[Category]]="M",COUNTIF($I$2:$I32,"M"),IF(Table15151617[[#This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Table15151617[[#This Row],[Full Name]]</f>
        <v>0</v>
      </c>
      <c r="B33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3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3" s="7" t="str">
        <f>IF(Table15151617[[#This Row],[Category]]="","",IF(Table15151617[[#This Row],[Category]]="M",COUNTIF($I$2:$I33,"M"),IF(Table15151617[[#This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Table15151617[[#This Row],[Full Name]]</f>
        <v>0</v>
      </c>
      <c r="B34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4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4" s="7" t="str">
        <f>IF(Table15151617[[#This Row],[Category]]="","",IF(Table15151617[[#This Row],[Category]]="M",COUNTIF($I$2:$I34,"M"),IF(Table15151617[[#This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Table15151617[[#This Row],[Full Name]]</f>
        <v>0</v>
      </c>
      <c r="B35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5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5" s="7" t="str">
        <f>IF(Table15151617[[#This Row],[Category]]="","",IF(Table15151617[[#This Row],[Category]]="M",COUNTIF($I$2:$I35,"M"),IF(Table15151617[[#This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Table15151617[[#This Row],[Full Name]]</f>
        <v>0</v>
      </c>
      <c r="B36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6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6" s="7" t="str">
        <f>IF(Table15151617[[#This Row],[Category]]="","",IF(Table15151617[[#This Row],[Category]]="M",COUNTIF($I$2:$I36,"M"),IF(Table15151617[[#This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Table15151617[[#This Row],[Full Name]]</f>
        <v>0</v>
      </c>
      <c r="B37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7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7" s="7" t="str">
        <f>IF(Table15151617[[#This Row],[Category]]="","",IF(Table15151617[[#This Row],[Category]]="M",COUNTIF($I$2:$I37,"M"),IF(Table15151617[[#This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Table15151617[[#This Row],[Full Name]]</f>
        <v>0</v>
      </c>
      <c r="B38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8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8" s="7" t="str">
        <f>IF(Table15151617[[#This Row],[Category]]="","",IF(Table15151617[[#This Row],[Category]]="M",COUNTIF($I$2:$I38,"M"),IF(Table15151617[[#This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Table15151617[[#This Row],[Full Name]]</f>
        <v>0</v>
      </c>
      <c r="B39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39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39" s="7" t="str">
        <f>IF(Table15151617[[#This Row],[Category]]="","",IF(Table15151617[[#This Row],[Category]]="M",COUNTIF($I$2:$I39,"M"),IF(Table15151617[[#This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Table15151617[[#This Row],[Full Name]]</f>
        <v>0</v>
      </c>
      <c r="B40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0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0" s="7" t="str">
        <f>IF(Table15151617[[#This Row],[Category]]="","",IF(Table15151617[[#This Row],[Category]]="M",COUNTIF($I$2:$I40,"M"),IF(Table15151617[[#This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Table15151617[[#This Row],[Full Name]]</f>
        <v>0</v>
      </c>
      <c r="B41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1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1" s="7" t="str">
        <f>IF(Table15151617[[#This Row],[Category]]="","",IF(Table15151617[[#This Row],[Category]]="M",COUNTIF($I$2:$I41,"M"),IF(Table15151617[[#This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Table15151617[[#This Row],[Full Name]]</f>
        <v>0</v>
      </c>
      <c r="B42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2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2" s="7" t="str">
        <f>IF(Table15151617[[#This Row],[Category]]="","",IF(Table15151617[[#This Row],[Category]]="M",COUNTIF($I$2:$I42,"M"),IF(Table15151617[[#This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Table15151617[[#This Row],[Full Name]]</f>
        <v>0</v>
      </c>
      <c r="B43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3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3" s="7" t="str">
        <f>IF(Table15151617[[#This Row],[Category]]="","",IF(Table15151617[[#This Row],[Category]]="M",COUNTIF($I$2:$I43,"M"),IF(Table15151617[[#This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Table15151617[[#This Row],[Full Name]]</f>
        <v>0</v>
      </c>
      <c r="B44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4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4" s="7" t="str">
        <f>IF(Table15151617[[#This Row],[Category]]="","",IF(Table15151617[[#This Row],[Category]]="M",COUNTIF($I$2:$I44,"M"),IF(Table15151617[[#This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Table15151617[[#This Row],[Full Name]]</f>
        <v>0</v>
      </c>
      <c r="B45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5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5" s="7" t="str">
        <f>IF(Table15151617[[#This Row],[Category]]="","",IF(Table15151617[[#This Row],[Category]]="M",COUNTIF($I$2:$I45,"M"),IF(Table15151617[[#This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Table15151617[[#This Row],[Full Name]]</f>
        <v>0</v>
      </c>
      <c r="B46" s="29" t="str">
        <f>IF(Table15151617[[#This Row],[Full Name]]="","",IF(IFERROR(IFERROR(VLOOKUP(Table15151617[[#This Row],[Full Name]],'Mens League'!B:B,1,FALSE),VLOOKUP(Table15151617[[#This Row],[Full Name]],'Women''s League'!B:B,1,FALSE)),"NEEDS ADDING")="NEEDS ADDING","NEEDS ADDING","OK"))</f>
        <v/>
      </c>
      <c r="C46" s="29" t="str">
        <f>IF(Table15151617[[#This Row],[Position]]="","",IF(Table15151617[[#This Row],[Rank]]=1,30,IF(Table15151617[[#This Row],[Rank]]=2,29,IF(Table15151617[[#This Row],[Rank]]=3,28,IF(Table15151617[[#This Row],[Rank]]=4,27,IF(Table15151617[[#This Row],[Rank]]=5,26,IF(Table15151617[[#This Row],[Rank]]=6,25,IF(Table15151617[[#This Row],[Rank]]=7,24,IF(Table15151617[[#This Row],[Rank]]=8,23,IF(Table15151617[[#This Row],[Rank]]=9,22,IF(Table15151617[[#This Row],[Rank]]=10,21,IF(Table15151617[[#This Row],[Rank]]=11,20,IF(Table15151617[[#This Row],[Rank]]=12,19,IF(Table15151617[[#This Row],[Rank]]=13,18,IF(Table15151617[[#This Row],[Rank]]=14,17,IF(Table15151617[[#This Row],[Rank]]=15,16,IF(Table15151617[[#This Row],[Rank]]=16,15,IF(Table15151617[[#This Row],[Rank]]=17,14,IF(Table15151617[[#This Row],[Rank]]=18,13,IF(Table15151617[[#This Row],[Rank]]=19,12,IF(Table15151617[[#This Row],[Rank]]=20,11,IF(Table15151617[[#This Row],[Rank]]=21,10,IF(Table15151617[[#This Row],[Rank]]=22,9,IF(Table15151617[[#This Row],[Rank]]=23,8,IF(Table15151617[[#This Row],[Rank]]=24,7,IF(Table15151617[[#This Row],[Rank]]=25,6,IF(Table15151617[[#This Row],[Rank]]=26,5,IF(Table15151617[[#This Row],[Rank]]=27,4,IF(Table15151617[[#This Row],[Rank]]=28,3,IF(Table15151617[[#This Row],[Rank]]=29,2,IF(Table15151617[[#This Row],[Rank]]=30,1,0)))))))))))))))))))))))))))))))</f>
        <v/>
      </c>
      <c r="D46" s="7" t="str">
        <f>IF(Table15151617[[#This Row],[Category]]="","",IF(Table15151617[[#This Row],[Category]]="M",COUNTIF($I$2:$I46,"M"),IF(Table15151617[[#This Row],[Category]]="F",COUNTIF($I$2:$I46,"F"),0)))</f>
        <v/>
      </c>
      <c r="E46" s="34"/>
      <c r="F46" s="35"/>
      <c r="G46" s="36"/>
      <c r="H46" s="36"/>
      <c r="I46" s="37"/>
    </row>
  </sheetData>
  <phoneticPr fontId="11" type="noConversion"/>
  <conditionalFormatting sqref="B2:B46">
    <cfRule type="containsText" dxfId="7" priority="1" operator="containsText" text="OK">
      <formula>NOT(ISERROR(SEARCH("OK",B2)))</formula>
    </cfRule>
    <cfRule type="containsText" dxfId="6" priority="2" operator="containsText" text="NEEDS ADDING">
      <formula>NOT(ISERROR(SEARCH("NEEDS ADDING",B2)))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5B50-9E0B-40FD-8AEF-AB89E80EB3CB}">
  <sheetPr>
    <tabColor rgb="FF00B0F0"/>
  </sheetPr>
  <dimension ref="A1:I50"/>
  <sheetViews>
    <sheetView topLeftCell="B1" workbookViewId="0">
      <selection activeCell="E14" sqref="E14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Table1515161718[[#This Row],[Full Name]]</f>
        <v>PARKER, Mark</v>
      </c>
      <c r="B2" s="30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" s="26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30</v>
      </c>
      <c r="D2" s="7">
        <f>IF(Table1515161718[[#This Row],[Category]]="","",IF(Table1515161718[[#This Row],[Category]]="M",COUNTIF($I$2:$I2,"M"),IF(Table1515161718[[#This Row],[Category]]="F",COUNTIF($I$2:$I2,"F"),0)))</f>
        <v>1</v>
      </c>
      <c r="E2" s="34">
        <v>25</v>
      </c>
      <c r="F2" s="35">
        <v>2.3541666666666666E-2</v>
      </c>
      <c r="G2" s="36" t="s">
        <v>284</v>
      </c>
      <c r="H2" s="36" t="s">
        <v>2</v>
      </c>
      <c r="I2" s="37" t="s">
        <v>146</v>
      </c>
    </row>
    <row r="3" spans="1:9" x14ac:dyDescent="0.25">
      <c r="A3" s="26" t="str">
        <f>Table1515161718[[#This Row],[Full Name]]</f>
        <v>SIDANI, Ramzi</v>
      </c>
      <c r="B3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3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29</v>
      </c>
      <c r="D3" s="7">
        <f>IF(Table1515161718[[#This Row],[Category]]="","",IF(Table1515161718[[#This Row],[Category]]="M",COUNTIF($I$2:$I3,"M"),IF(Table1515161718[[#This Row],[Category]]="F",COUNTIF($I$2:$I3,"F"),0)))</f>
        <v>2</v>
      </c>
      <c r="E3" s="34">
        <v>29</v>
      </c>
      <c r="F3" s="35">
        <v>2.3807870370370372E-2</v>
      </c>
      <c r="G3" s="36" t="s">
        <v>332</v>
      </c>
      <c r="H3" s="36" t="s">
        <v>1</v>
      </c>
      <c r="I3" s="37" t="s">
        <v>146</v>
      </c>
    </row>
    <row r="4" spans="1:9" x14ac:dyDescent="0.25">
      <c r="A4" s="26" t="str">
        <f>Table1515161718[[#This Row],[Full Name]]</f>
        <v>DUNNING, Phil</v>
      </c>
      <c r="B4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4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28</v>
      </c>
      <c r="D4" s="7">
        <f>IF(Table1515161718[[#This Row],[Category]]="","",IF(Table1515161718[[#This Row],[Category]]="M",COUNTIF($I$2:$I4,"M"),IF(Table1515161718[[#This Row],[Category]]="F",COUNTIF($I$2:$I4,"F"),0)))</f>
        <v>3</v>
      </c>
      <c r="E4" s="34">
        <v>34</v>
      </c>
      <c r="F4" s="35">
        <v>2.4108796296296295E-2</v>
      </c>
      <c r="G4" s="36" t="s">
        <v>347</v>
      </c>
      <c r="H4" s="36" t="s">
        <v>227</v>
      </c>
      <c r="I4" s="37" t="s">
        <v>146</v>
      </c>
    </row>
    <row r="5" spans="1:9" x14ac:dyDescent="0.25">
      <c r="A5" s="26" t="str">
        <f>Table1515161718[[#This Row],[Full Name]]</f>
        <v>WIDEMAN, Karl</v>
      </c>
      <c r="B5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5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27</v>
      </c>
      <c r="D5" s="7">
        <f>IF(Table1515161718[[#This Row],[Category]]="","",IF(Table1515161718[[#This Row],[Category]]="M",COUNTIF($I$2:$I5,"M"),IF(Table1515161718[[#This Row],[Category]]="F",COUNTIF($I$2:$I5,"F"),0)))</f>
        <v>4</v>
      </c>
      <c r="E5" s="34">
        <v>38</v>
      </c>
      <c r="F5" s="35">
        <v>2.4513888888888891E-2</v>
      </c>
      <c r="G5" s="36" t="s">
        <v>196</v>
      </c>
      <c r="H5" s="36" t="s">
        <v>3</v>
      </c>
      <c r="I5" s="37" t="s">
        <v>146</v>
      </c>
    </row>
    <row r="6" spans="1:9" x14ac:dyDescent="0.25">
      <c r="A6" s="26" t="str">
        <f>Table1515161718[[#This Row],[Full Name]]</f>
        <v>CODD, Paul</v>
      </c>
      <c r="B6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6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26</v>
      </c>
      <c r="D6" s="7">
        <f>IF(Table1515161718[[#This Row],[Category]]="","",IF(Table1515161718[[#This Row],[Category]]="M",COUNTIF($I$2:$I6,"M"),IF(Table1515161718[[#This Row],[Category]]="F",COUNTIF($I$2:$I6,"F"),0)))</f>
        <v>5</v>
      </c>
      <c r="E6" s="34">
        <v>59</v>
      </c>
      <c r="F6" s="35">
        <v>2.5405092592592594E-2</v>
      </c>
      <c r="G6" s="36" t="s">
        <v>416</v>
      </c>
      <c r="H6" s="36" t="s">
        <v>48</v>
      </c>
      <c r="I6" s="37" t="s">
        <v>146</v>
      </c>
    </row>
    <row r="7" spans="1:9" x14ac:dyDescent="0.25">
      <c r="A7" s="26" t="str">
        <f>Table1515161718[[#This Row],[Full Name]]</f>
        <v>WIDEMAN, Oliver</v>
      </c>
      <c r="B7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7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25</v>
      </c>
      <c r="D7" s="7">
        <f>IF(Table1515161718[[#This Row],[Category]]="","",IF(Table1515161718[[#This Row],[Category]]="M",COUNTIF($I$2:$I7,"M"),IF(Table1515161718[[#This Row],[Category]]="F",COUNTIF($I$2:$I7,"F"),0)))</f>
        <v>6</v>
      </c>
      <c r="E7" s="34">
        <v>67</v>
      </c>
      <c r="F7" s="35">
        <v>2.5787037037037035E-2</v>
      </c>
      <c r="G7" s="36" t="s">
        <v>234</v>
      </c>
      <c r="H7" s="36" t="s">
        <v>304</v>
      </c>
      <c r="I7" s="37" t="s">
        <v>146</v>
      </c>
    </row>
    <row r="8" spans="1:9" x14ac:dyDescent="0.25">
      <c r="A8" s="26" t="str">
        <f>Table1515161718[[#This Row],[Full Name]]</f>
        <v>BOLTON, Ian</v>
      </c>
      <c r="B8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8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24</v>
      </c>
      <c r="D8" s="7">
        <f>IF(Table1515161718[[#This Row],[Category]]="","",IF(Table1515161718[[#This Row],[Category]]="M",COUNTIF($I$2:$I8,"M"),IF(Table1515161718[[#This Row],[Category]]="F",COUNTIF($I$2:$I8,"F"),0)))</f>
        <v>7</v>
      </c>
      <c r="E8" s="34">
        <v>88</v>
      </c>
      <c r="F8" s="35">
        <v>2.6875E-2</v>
      </c>
      <c r="G8" s="36" t="s">
        <v>417</v>
      </c>
      <c r="H8" s="36" t="s">
        <v>5</v>
      </c>
      <c r="I8" s="37" t="s">
        <v>146</v>
      </c>
    </row>
    <row r="9" spans="1:9" x14ac:dyDescent="0.25">
      <c r="A9" s="26" t="str">
        <f>Table1515161718[[#This Row],[Full Name]]</f>
        <v>HORN, Patrick</v>
      </c>
      <c r="B9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9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23</v>
      </c>
      <c r="D9" s="7">
        <f>IF(Table1515161718[[#This Row],[Category]]="","",IF(Table1515161718[[#This Row],[Category]]="M",COUNTIF($I$2:$I9,"M"),IF(Table1515161718[[#This Row],[Category]]="F",COUNTIF($I$2:$I9,"F"),0)))</f>
        <v>8</v>
      </c>
      <c r="E9" s="34">
        <v>109</v>
      </c>
      <c r="F9" s="35">
        <v>2.7662037037037037E-2</v>
      </c>
      <c r="G9" s="36" t="s">
        <v>265</v>
      </c>
      <c r="H9" s="36" t="s">
        <v>46</v>
      </c>
      <c r="I9" s="37" t="s">
        <v>146</v>
      </c>
    </row>
    <row r="10" spans="1:9" x14ac:dyDescent="0.25">
      <c r="A10" s="26" t="str">
        <f>Table1515161718[[#This Row],[Full Name]]</f>
        <v>WIDEMAN, Emily</v>
      </c>
      <c r="B10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0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30</v>
      </c>
      <c r="D10" s="7">
        <f>IF(Table1515161718[[#This Row],[Category]]="","",IF(Table1515161718[[#This Row],[Category]]="M",COUNTIF($I$2:$I10,"M"),IF(Table1515161718[[#This Row],[Category]]="F",COUNTIF($I$2:$I10,"F"),0)))</f>
        <v>1</v>
      </c>
      <c r="E10" s="34">
        <v>110</v>
      </c>
      <c r="F10" s="35">
        <v>2.7719907407407408E-2</v>
      </c>
      <c r="G10" s="36" t="s">
        <v>418</v>
      </c>
      <c r="H10" s="36" t="s">
        <v>38</v>
      </c>
      <c r="I10" s="37" t="s">
        <v>156</v>
      </c>
    </row>
    <row r="11" spans="1:9" x14ac:dyDescent="0.25">
      <c r="A11" s="26" t="str">
        <f>Table1515161718[[#This Row],[Full Name]]</f>
        <v>MARTIN, Richard</v>
      </c>
      <c r="B11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1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22</v>
      </c>
      <c r="D11" s="7">
        <f>IF(Table1515161718[[#This Row],[Category]]="","",IF(Table1515161718[[#This Row],[Category]]="M",COUNTIF($I$2:$I11,"M"),IF(Table1515161718[[#This Row],[Category]]="F",COUNTIF($I$2:$I11,"F"),0)))</f>
        <v>9</v>
      </c>
      <c r="E11" s="34">
        <v>119</v>
      </c>
      <c r="F11" s="35">
        <v>2.8136574074074074E-2</v>
      </c>
      <c r="G11" s="36" t="s">
        <v>378</v>
      </c>
      <c r="H11" s="36" t="s">
        <v>72</v>
      </c>
      <c r="I11" s="37" t="s">
        <v>146</v>
      </c>
    </row>
    <row r="12" spans="1:9" x14ac:dyDescent="0.25">
      <c r="A12" s="26" t="str">
        <f>Table1515161718[[#This Row],[Full Name]]</f>
        <v>ALLSOP, Andrew</v>
      </c>
      <c r="B12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2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21</v>
      </c>
      <c r="D12" s="7">
        <f>IF(Table1515161718[[#This Row],[Category]]="","",IF(Table1515161718[[#This Row],[Category]]="M",COUNTIF($I$2:$I12,"M"),IF(Table1515161718[[#This Row],[Category]]="F",COUNTIF($I$2:$I12,"F"),0)))</f>
        <v>10</v>
      </c>
      <c r="E12" s="34">
        <v>137</v>
      </c>
      <c r="F12" s="35">
        <v>2.8657407407407406E-2</v>
      </c>
      <c r="G12" s="36" t="s">
        <v>291</v>
      </c>
      <c r="H12" s="36" t="s">
        <v>177</v>
      </c>
      <c r="I12" s="37" t="s">
        <v>146</v>
      </c>
    </row>
    <row r="13" spans="1:9" x14ac:dyDescent="0.25">
      <c r="A13" s="26" t="str">
        <f>Table1515161718[[#This Row],[Full Name]]</f>
        <v>FOWLER, Adrian</v>
      </c>
      <c r="B13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3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20</v>
      </c>
      <c r="D13" s="7">
        <f>IF(Table1515161718[[#This Row],[Category]]="","",IF(Table1515161718[[#This Row],[Category]]="M",COUNTIF($I$2:$I13,"M"),IF(Table1515161718[[#This Row],[Category]]="F",COUNTIF($I$2:$I13,"F"),0)))</f>
        <v>11</v>
      </c>
      <c r="E13" s="34">
        <v>181</v>
      </c>
      <c r="F13" s="35">
        <v>3.0150462962962962E-2</v>
      </c>
      <c r="G13" s="36" t="s">
        <v>419</v>
      </c>
      <c r="H13" s="36" t="s">
        <v>106</v>
      </c>
      <c r="I13" s="37" t="s">
        <v>146</v>
      </c>
    </row>
    <row r="14" spans="1:9" x14ac:dyDescent="0.25">
      <c r="A14" s="26" t="str">
        <f>Table1515161718[[#This Row],[Full Name]]</f>
        <v>BOTTRILL, Andrew</v>
      </c>
      <c r="B14" s="28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4" s="28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19</v>
      </c>
      <c r="D14" s="7">
        <f>IF(Table1515161718[[#This Row],[Category]]="","",IF(Table1515161718[[#This Row],[Category]]="M",COUNTIF($I$2:$I14,"M"),IF(Table1515161718[[#This Row],[Category]]="F",COUNTIF($I$2:$I14,"F"),0)))</f>
        <v>12</v>
      </c>
      <c r="E14" s="34">
        <v>185</v>
      </c>
      <c r="F14" s="35">
        <v>3.0393518518518518E-2</v>
      </c>
      <c r="G14" s="36" t="s">
        <v>152</v>
      </c>
      <c r="H14" s="36" t="s">
        <v>30</v>
      </c>
      <c r="I14" s="37" t="s">
        <v>146</v>
      </c>
    </row>
    <row r="15" spans="1:9" x14ac:dyDescent="0.25">
      <c r="A15" s="27" t="str">
        <f>Table1515161718[[#This Row],[Full Name]]</f>
        <v>BLAND, Damon</v>
      </c>
      <c r="B15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5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18</v>
      </c>
      <c r="D15" s="7">
        <f>IF(Table1515161718[[#This Row],[Category]]="","",IF(Table1515161718[[#This Row],[Category]]="M",COUNTIF($I$2:$I15,"M"),IF(Table1515161718[[#This Row],[Category]]="F",COUNTIF($I$2:$I15,"F"),0)))</f>
        <v>13</v>
      </c>
      <c r="E15" s="38">
        <v>199</v>
      </c>
      <c r="F15" s="39">
        <v>3.0787037037037036E-2</v>
      </c>
      <c r="G15" s="40" t="s">
        <v>239</v>
      </c>
      <c r="H15" s="40" t="s">
        <v>9</v>
      </c>
      <c r="I15" s="41" t="s">
        <v>146</v>
      </c>
    </row>
    <row r="16" spans="1:9" x14ac:dyDescent="0.25">
      <c r="A16" s="27" t="str">
        <f>Table1515161718[[#This Row],[Full Name]]</f>
        <v>TAYLOR, Julie</v>
      </c>
      <c r="B16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6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29</v>
      </c>
      <c r="D16" s="7">
        <f>IF(Table1515161718[[#This Row],[Category]]="","",IF(Table1515161718[[#This Row],[Category]]="M",COUNTIF($I$2:$I16,"M"),IF(Table1515161718[[#This Row],[Category]]="F",COUNTIF($I$2:$I16,"F"),0)))</f>
        <v>2</v>
      </c>
      <c r="E16" s="34">
        <v>200</v>
      </c>
      <c r="F16" s="35">
        <v>3.0787037037037036E-2</v>
      </c>
      <c r="G16" s="36" t="s">
        <v>239</v>
      </c>
      <c r="H16" s="36" t="s">
        <v>11</v>
      </c>
      <c r="I16" s="37" t="s">
        <v>156</v>
      </c>
    </row>
    <row r="17" spans="1:9" x14ac:dyDescent="0.25">
      <c r="A17" s="27" t="str">
        <f>Table1515161718[[#This Row],[Full Name]]</f>
        <v>BRADFORD, Mark</v>
      </c>
      <c r="B17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7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17</v>
      </c>
      <c r="D17" s="7">
        <f>IF(Table1515161718[[#This Row],[Category]]="","",IF(Table1515161718[[#This Row],[Category]]="M",COUNTIF($I$2:$I17,"M"),IF(Table1515161718[[#This Row],[Category]]="F",COUNTIF($I$2:$I17,"F"),0)))</f>
        <v>14</v>
      </c>
      <c r="E17" s="34">
        <v>207</v>
      </c>
      <c r="F17" s="35">
        <v>3.0960648148148147E-2</v>
      </c>
      <c r="G17" s="36" t="s">
        <v>420</v>
      </c>
      <c r="H17" s="36" t="s">
        <v>7</v>
      </c>
      <c r="I17" s="37" t="s">
        <v>146</v>
      </c>
    </row>
    <row r="18" spans="1:9" x14ac:dyDescent="0.25">
      <c r="A18" s="27" t="str">
        <f>Table1515161718[[#This Row],[Full Name]]</f>
        <v>WATKINS, Catherine</v>
      </c>
      <c r="B18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8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28</v>
      </c>
      <c r="D18" s="7">
        <f>IF(Table1515161718[[#This Row],[Category]]="","",IF(Table1515161718[[#This Row],[Category]]="M",COUNTIF($I$2:$I18,"M"),IF(Table1515161718[[#This Row],[Category]]="F",COUNTIF($I$2:$I18,"F"),0)))</f>
        <v>3</v>
      </c>
      <c r="E18" s="34">
        <v>253</v>
      </c>
      <c r="F18" s="35">
        <v>3.2812500000000001E-2</v>
      </c>
      <c r="G18" s="36" t="s">
        <v>421</v>
      </c>
      <c r="H18" s="36" t="s">
        <v>98</v>
      </c>
      <c r="I18" s="37" t="s">
        <v>156</v>
      </c>
    </row>
    <row r="19" spans="1:9" x14ac:dyDescent="0.25">
      <c r="A19" s="27" t="str">
        <f>Table1515161718[[#This Row],[Full Name]]</f>
        <v>BETTS, Fiona</v>
      </c>
      <c r="B19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19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27</v>
      </c>
      <c r="D19" s="7">
        <f>IF(Table1515161718[[#This Row],[Category]]="","",IF(Table1515161718[[#This Row],[Category]]="M",COUNTIF($I$2:$I19,"M"),IF(Table1515161718[[#This Row],[Category]]="F",COUNTIF($I$2:$I19,"F"),0)))</f>
        <v>4</v>
      </c>
      <c r="E19" s="34">
        <v>257</v>
      </c>
      <c r="F19" s="35">
        <v>3.2986111111111112E-2</v>
      </c>
      <c r="G19" s="36" t="s">
        <v>422</v>
      </c>
      <c r="H19" s="36" t="s">
        <v>51</v>
      </c>
      <c r="I19" s="37" t="s">
        <v>156</v>
      </c>
    </row>
    <row r="20" spans="1:9" x14ac:dyDescent="0.25">
      <c r="A20" s="27" t="str">
        <f>Table1515161718[[#This Row],[Full Name]]</f>
        <v>SMITH, Victoria</v>
      </c>
      <c r="B20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0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26</v>
      </c>
      <c r="D20" s="7">
        <f>IF(Table1515161718[[#This Row],[Category]]="","",IF(Table1515161718[[#This Row],[Category]]="M",COUNTIF($I$2:$I20,"M"),IF(Table1515161718[[#This Row],[Category]]="F",COUNTIF($I$2:$I20,"F"),0)))</f>
        <v>5</v>
      </c>
      <c r="E20" s="34">
        <v>269</v>
      </c>
      <c r="F20" s="35">
        <v>3.3472222222222223E-2</v>
      </c>
      <c r="G20" s="36" t="s">
        <v>423</v>
      </c>
      <c r="H20" s="36" t="s">
        <v>41</v>
      </c>
      <c r="I20" s="37" t="s">
        <v>156</v>
      </c>
    </row>
    <row r="21" spans="1:9" x14ac:dyDescent="0.25">
      <c r="A21" s="27" t="str">
        <f>Table1515161718[[#This Row],[Full Name]]</f>
        <v>YEOMANS, Martin</v>
      </c>
      <c r="B21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1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16</v>
      </c>
      <c r="D21" s="7">
        <f>IF(Table1515161718[[#This Row],[Category]]="","",IF(Table1515161718[[#This Row],[Category]]="M",COUNTIF($I$2:$I21,"M"),IF(Table1515161718[[#This Row],[Category]]="F",COUNTIF($I$2:$I21,"F"),0)))</f>
        <v>15</v>
      </c>
      <c r="E21" s="34">
        <v>292</v>
      </c>
      <c r="F21" s="35">
        <v>3.4050925925925929E-2</v>
      </c>
      <c r="G21" s="36" t="s">
        <v>424</v>
      </c>
      <c r="H21" s="36" t="s">
        <v>10</v>
      </c>
      <c r="I21" s="37" t="s">
        <v>146</v>
      </c>
    </row>
    <row r="22" spans="1:9" x14ac:dyDescent="0.25">
      <c r="A22" s="27" t="str">
        <f>Table1515161718[[#This Row],[Full Name]]</f>
        <v>ALLSOP, Lucy</v>
      </c>
      <c r="B22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2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25</v>
      </c>
      <c r="D22" s="7">
        <f>IF(Table1515161718[[#This Row],[Category]]="","",IF(Table1515161718[[#This Row],[Category]]="M",COUNTIF($I$2:$I22,"M"),IF(Table1515161718[[#This Row],[Category]]="F",COUNTIF($I$2:$I22,"F"),0)))</f>
        <v>6</v>
      </c>
      <c r="E22" s="34">
        <v>294</v>
      </c>
      <c r="F22" s="35">
        <v>3.412037037037037E-2</v>
      </c>
      <c r="G22" s="36" t="s">
        <v>425</v>
      </c>
      <c r="H22" s="36" t="s">
        <v>43</v>
      </c>
      <c r="I22" s="37" t="s">
        <v>156</v>
      </c>
    </row>
    <row r="23" spans="1:9" x14ac:dyDescent="0.25">
      <c r="A23" s="27" t="str">
        <f>Table1515161718[[#This Row],[Full Name]]</f>
        <v>AVERILLO, Paul</v>
      </c>
      <c r="B23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3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15</v>
      </c>
      <c r="D23" s="7">
        <f>IF(Table1515161718[[#This Row],[Category]]="","",IF(Table1515161718[[#This Row],[Category]]="M",COUNTIF($I$2:$I23,"M"),IF(Table1515161718[[#This Row],[Category]]="F",COUNTIF($I$2:$I23,"F"),0)))</f>
        <v>16</v>
      </c>
      <c r="E23" s="34">
        <v>303</v>
      </c>
      <c r="F23" s="35">
        <v>3.4560185185185187E-2</v>
      </c>
      <c r="G23" s="36" t="s">
        <v>426</v>
      </c>
      <c r="H23" s="36" t="s">
        <v>54</v>
      </c>
      <c r="I23" s="37" t="s">
        <v>146</v>
      </c>
    </row>
    <row r="24" spans="1:9" x14ac:dyDescent="0.25">
      <c r="A24" s="27" t="str">
        <f>Table1515161718[[#This Row],[Full Name]]</f>
        <v>GRAVES, Laura</v>
      </c>
      <c r="B24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4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24</v>
      </c>
      <c r="D24" s="7">
        <f>IF(Table1515161718[[#This Row],[Category]]="","",IF(Table1515161718[[#This Row],[Category]]="M",COUNTIF($I$2:$I24,"M"),IF(Table1515161718[[#This Row],[Category]]="F",COUNTIF($I$2:$I24,"F"),0)))</f>
        <v>7</v>
      </c>
      <c r="E24" s="34">
        <v>310</v>
      </c>
      <c r="F24" s="35">
        <v>3.4768518518518518E-2</v>
      </c>
      <c r="G24" s="36" t="s">
        <v>427</v>
      </c>
      <c r="H24" s="36" t="s">
        <v>13</v>
      </c>
      <c r="I24" s="37" t="s">
        <v>156</v>
      </c>
    </row>
    <row r="25" spans="1:9" x14ac:dyDescent="0.25">
      <c r="A25" s="27" t="str">
        <f>Table1515161718[[#This Row],[Full Name]]</f>
        <v>WHITWORTH, Paula</v>
      </c>
      <c r="B25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5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23</v>
      </c>
      <c r="D25" s="7">
        <f>IF(Table1515161718[[#This Row],[Category]]="","",IF(Table1515161718[[#This Row],[Category]]="M",COUNTIF($I$2:$I25,"M"),IF(Table1515161718[[#This Row],[Category]]="F",COUNTIF($I$2:$I25,"F"),0)))</f>
        <v>8</v>
      </c>
      <c r="E25" s="34">
        <v>318</v>
      </c>
      <c r="F25" s="35">
        <v>3.5115740740740739E-2</v>
      </c>
      <c r="G25" s="36" t="s">
        <v>428</v>
      </c>
      <c r="H25" s="36" t="s">
        <v>135</v>
      </c>
      <c r="I25" s="37" t="s">
        <v>156</v>
      </c>
    </row>
    <row r="26" spans="1:9" x14ac:dyDescent="0.25">
      <c r="A26" s="27" t="str">
        <f>Table1515161718[[#This Row],[Full Name]]</f>
        <v>LAWLESS, Sandra</v>
      </c>
      <c r="B26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6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22</v>
      </c>
      <c r="D26" s="7">
        <f>IF(Table1515161718[[#This Row],[Category]]="","",IF(Table1515161718[[#This Row],[Category]]="M",COUNTIF($I$2:$I26,"M"),IF(Table1515161718[[#This Row],[Category]]="F",COUNTIF($I$2:$I26,"F"),0)))</f>
        <v>9</v>
      </c>
      <c r="E26" s="34">
        <v>328</v>
      </c>
      <c r="F26" s="35">
        <v>3.5451388888888886E-2</v>
      </c>
      <c r="G26" s="36" t="s">
        <v>429</v>
      </c>
      <c r="H26" s="36" t="s">
        <v>66</v>
      </c>
      <c r="I26" s="37" t="s">
        <v>156</v>
      </c>
    </row>
    <row r="27" spans="1:9" x14ac:dyDescent="0.25">
      <c r="A27" s="27" t="str">
        <f>Table1515161718[[#This Row],[Full Name]]</f>
        <v>POWDRILL, Neil</v>
      </c>
      <c r="B27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7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14</v>
      </c>
      <c r="D27" s="7">
        <f>IF(Table1515161718[[#This Row],[Category]]="","",IF(Table1515161718[[#This Row],[Category]]="M",COUNTIF($I$2:$I27,"M"),IF(Table1515161718[[#This Row],[Category]]="F",COUNTIF($I$2:$I27,"F"),0)))</f>
        <v>17</v>
      </c>
      <c r="E27" s="34">
        <v>333</v>
      </c>
      <c r="F27" s="35">
        <v>3.5613425925925923E-2</v>
      </c>
      <c r="G27" s="36" t="s">
        <v>430</v>
      </c>
      <c r="H27" s="36" t="s">
        <v>222</v>
      </c>
      <c r="I27" s="37" t="s">
        <v>146</v>
      </c>
    </row>
    <row r="28" spans="1:9" x14ac:dyDescent="0.25">
      <c r="A28" s="27" t="str">
        <f>Table1515161718[[#This Row],[Full Name]]</f>
        <v>OSBORNE, Carolyn</v>
      </c>
      <c r="B28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8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21</v>
      </c>
      <c r="D28" s="7">
        <f>IF(Table1515161718[[#This Row],[Category]]="","",IF(Table1515161718[[#This Row],[Category]]="M",COUNTIF($I$2:$I28,"M"),IF(Table1515161718[[#This Row],[Category]]="F",COUNTIF($I$2:$I28,"F"),0)))</f>
        <v>10</v>
      </c>
      <c r="E28" s="34">
        <v>339</v>
      </c>
      <c r="F28" s="35">
        <v>3.5844907407407409E-2</v>
      </c>
      <c r="G28" s="36" t="s">
        <v>431</v>
      </c>
      <c r="H28" s="36" t="s">
        <v>12</v>
      </c>
      <c r="I28" s="37" t="s">
        <v>156</v>
      </c>
    </row>
    <row r="29" spans="1:9" x14ac:dyDescent="0.25">
      <c r="A29" s="27" t="str">
        <f>Table1515161718[[#This Row],[Full Name]]</f>
        <v>CODD, Sarah</v>
      </c>
      <c r="B29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29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20</v>
      </c>
      <c r="D29" s="7">
        <f>IF(Table1515161718[[#This Row],[Category]]="","",IF(Table1515161718[[#This Row],[Category]]="M",COUNTIF($I$2:$I29,"M"),IF(Table1515161718[[#This Row],[Category]]="F",COUNTIF($I$2:$I29,"F"),0)))</f>
        <v>11</v>
      </c>
      <c r="E29" s="34">
        <v>357</v>
      </c>
      <c r="F29" s="35">
        <v>3.6585648148148145E-2</v>
      </c>
      <c r="G29" s="36" t="s">
        <v>166</v>
      </c>
      <c r="H29" s="36" t="s">
        <v>137</v>
      </c>
      <c r="I29" s="37" t="s">
        <v>156</v>
      </c>
    </row>
    <row r="30" spans="1:9" x14ac:dyDescent="0.25">
      <c r="A30" s="27" t="str">
        <f>Table1515161718[[#This Row],[Full Name]]</f>
        <v>WESTERN, Roger</v>
      </c>
      <c r="B30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30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13</v>
      </c>
      <c r="D30" s="7">
        <f>IF(Table1515161718[[#This Row],[Category]]="","",IF(Table1515161718[[#This Row],[Category]]="M",COUNTIF($I$2:$I30,"M"),IF(Table1515161718[[#This Row],[Category]]="F",COUNTIF($I$2:$I30,"F"),0)))</f>
        <v>18</v>
      </c>
      <c r="E30" s="34">
        <v>364</v>
      </c>
      <c r="F30" s="35">
        <v>3.6863425925925924E-2</v>
      </c>
      <c r="G30" s="36" t="s">
        <v>432</v>
      </c>
      <c r="H30" s="36" t="s">
        <v>31</v>
      </c>
      <c r="I30" s="37" t="s">
        <v>146</v>
      </c>
    </row>
    <row r="31" spans="1:9" x14ac:dyDescent="0.25">
      <c r="A31" s="27" t="str">
        <f>Table1515161718[[#This Row],[Full Name]]</f>
        <v>BARON, Tom</v>
      </c>
      <c r="B31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31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12</v>
      </c>
      <c r="D31" s="7">
        <f>IF(Table1515161718[[#This Row],[Category]]="","",IF(Table1515161718[[#This Row],[Category]]="M",COUNTIF($I$2:$I31,"M"),IF(Table1515161718[[#This Row],[Category]]="F",COUNTIF($I$2:$I31,"F"),0)))</f>
        <v>19</v>
      </c>
      <c r="E31" s="34">
        <v>373</v>
      </c>
      <c r="F31" s="35">
        <v>3.7430555555555557E-2</v>
      </c>
      <c r="G31" s="36" t="s">
        <v>433</v>
      </c>
      <c r="H31" s="36" t="s">
        <v>132</v>
      </c>
      <c r="I31" s="37" t="s">
        <v>146</v>
      </c>
    </row>
    <row r="32" spans="1:9" x14ac:dyDescent="0.25">
      <c r="A32" s="27" t="str">
        <f>Table1515161718[[#This Row],[Full Name]]</f>
        <v>BALL, Tom</v>
      </c>
      <c r="B32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32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11</v>
      </c>
      <c r="D32" s="7">
        <f>IF(Table1515161718[[#This Row],[Category]]="","",IF(Table1515161718[[#This Row],[Category]]="M",COUNTIF($I$2:$I32,"M"),IF(Table1515161718[[#This Row],[Category]]="F",COUNTIF($I$2:$I32,"F"),0)))</f>
        <v>20</v>
      </c>
      <c r="E32" s="34">
        <v>386</v>
      </c>
      <c r="F32" s="35">
        <v>3.8078703703703705E-2</v>
      </c>
      <c r="G32" s="36" t="s">
        <v>434</v>
      </c>
      <c r="H32" s="36" t="s">
        <v>114</v>
      </c>
      <c r="I32" s="37" t="s">
        <v>146</v>
      </c>
    </row>
    <row r="33" spans="1:9" x14ac:dyDescent="0.25">
      <c r="A33" s="27" t="str">
        <f>Table1515161718[[#This Row],[Full Name]]</f>
        <v>SINGLETON, Jill</v>
      </c>
      <c r="B33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33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19</v>
      </c>
      <c r="D33" s="7">
        <f>IF(Table1515161718[[#This Row],[Category]]="","",IF(Table1515161718[[#This Row],[Category]]="M",COUNTIF($I$2:$I33,"M"),IF(Table1515161718[[#This Row],[Category]]="F",COUNTIF($I$2:$I33,"F"),0)))</f>
        <v>12</v>
      </c>
      <c r="E33" s="34">
        <v>407</v>
      </c>
      <c r="F33" s="35">
        <v>3.9189814814814816E-2</v>
      </c>
      <c r="G33" s="36" t="s">
        <v>435</v>
      </c>
      <c r="H33" s="36" t="s">
        <v>85</v>
      </c>
      <c r="I33" s="37" t="s">
        <v>156</v>
      </c>
    </row>
    <row r="34" spans="1:9" x14ac:dyDescent="0.25">
      <c r="A34" s="27" t="str">
        <f>Table1515161718[[#This Row],[Full Name]]</f>
        <v>TOWLE, Grania</v>
      </c>
      <c r="B34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>OK</v>
      </c>
      <c r="C34" s="29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>18</v>
      </c>
      <c r="D34" s="7">
        <f>IF(Table1515161718[[#This Row],[Category]]="","",IF(Table1515161718[[#This Row],[Category]]="M",COUNTIF($I$2:$I34,"M"),IF(Table1515161718[[#This Row],[Category]]="F",COUNTIF($I$2:$I34,"F"),0)))</f>
        <v>13</v>
      </c>
      <c r="E34" s="34">
        <v>488</v>
      </c>
      <c r="F34" s="35">
        <v>4.7858796296296295E-2</v>
      </c>
      <c r="G34" s="36" t="s">
        <v>436</v>
      </c>
      <c r="H34" s="36" t="s">
        <v>15</v>
      </c>
      <c r="I34" s="37" t="s">
        <v>156</v>
      </c>
    </row>
    <row r="35" spans="1:9" x14ac:dyDescent="0.25">
      <c r="A35" s="27">
        <f>Table1515161718[[#This Row],[Full Name]]</f>
        <v>0</v>
      </c>
      <c r="B35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5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5" s="7" t="str">
        <f>IF(Table1515161718[[#This Row],[Category]]="","",IF(Table1515161718[[#This Row],[Category]]="M",COUNTIF($I$2:$I35,"M"),IF(Table1515161718[[#This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Table1515161718[[#This Row],[Full Name]]</f>
        <v>0</v>
      </c>
      <c r="B36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6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6" s="7" t="str">
        <f>IF(Table1515161718[[#This Row],[Category]]="","",IF(Table1515161718[[#This Row],[Category]]="M",COUNTIF($I$2:$I36,"M"),IF(Table1515161718[[#This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Table1515161718[[#This Row],[Full Name]]</f>
        <v>0</v>
      </c>
      <c r="B37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7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7" s="7" t="str">
        <f>IF(Table1515161718[[#This Row],[Category]]="","",IF(Table1515161718[[#This Row],[Category]]="M",COUNTIF($I$2:$I37,"M"),IF(Table1515161718[[#This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Table1515161718[[#This Row],[Full Name]]</f>
        <v>0</v>
      </c>
      <c r="B38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8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8" s="7" t="str">
        <f>IF(Table1515161718[[#This Row],[Category]]="","",IF(Table1515161718[[#This Row],[Category]]="M",COUNTIF($I$2:$I38,"M"),IF(Table1515161718[[#This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Table1515161718[[#This Row],[Full Name]]</f>
        <v>0</v>
      </c>
      <c r="B39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39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39" s="7" t="str">
        <f>IF(Table1515161718[[#This Row],[Category]]="","",IF(Table1515161718[[#This Row],[Category]]="M",COUNTIF($I$2:$I39,"M"),IF(Table1515161718[[#This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Table1515161718[[#This Row],[Full Name]]</f>
        <v>0</v>
      </c>
      <c r="B40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0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0" s="7" t="str">
        <f>IF(Table1515161718[[#This Row],[Category]]="","",IF(Table1515161718[[#This Row],[Category]]="M",COUNTIF($I$2:$I40,"M"),IF(Table1515161718[[#This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Table1515161718[[#This Row],[Full Name]]</f>
        <v>0</v>
      </c>
      <c r="B41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1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1" s="7" t="str">
        <f>IF(Table1515161718[[#This Row],[Category]]="","",IF(Table1515161718[[#This Row],[Category]]="M",COUNTIF($I$2:$I41,"M"),IF(Table1515161718[[#This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Table1515161718[[#This Row],[Full Name]]</f>
        <v>0</v>
      </c>
      <c r="B42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2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2" s="7" t="str">
        <f>IF(Table1515161718[[#This Row],[Category]]="","",IF(Table1515161718[[#This Row],[Category]]="M",COUNTIF($I$2:$I42,"M"),IF(Table1515161718[[#This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Table1515161718[[#This Row],[Full Name]]</f>
        <v>0</v>
      </c>
      <c r="B43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3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3" s="7" t="str">
        <f>IF(Table1515161718[[#This Row],[Category]]="","",IF(Table1515161718[[#This Row],[Category]]="M",COUNTIF($I$2:$I43,"M"),IF(Table1515161718[[#This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Table1515161718[[#This Row],[Full Name]]</f>
        <v>0</v>
      </c>
      <c r="B44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4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4" s="7" t="str">
        <f>IF(Table1515161718[[#This Row],[Category]]="","",IF(Table1515161718[[#This Row],[Category]]="M",COUNTIF($I$2:$I44,"M"),IF(Table1515161718[[#This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Table1515161718[[#This Row],[Full Name]]</f>
        <v>0</v>
      </c>
      <c r="B45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5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5" s="7" t="str">
        <f>IF(Table1515161718[[#This Row],[Category]]="","",IF(Table1515161718[[#This Row],[Category]]="M",COUNTIF($I$2:$I45,"M"),IF(Table1515161718[[#This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Table1515161718[[#This Row],[Full Name]]</f>
        <v>0</v>
      </c>
      <c r="B46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6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6" s="7" t="str">
        <f>IF(Table1515161718[[#This Row],[Category]]="","",IF(Table1515161718[[#This Row],[Category]]="M",COUNTIF($I$2:$I46,"M"),IF(Table1515161718[[#This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Table1515161718[[#This Row],[Full Name]]</f>
        <v>0</v>
      </c>
      <c r="B47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7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7" s="7" t="str">
        <f>IF(Table1515161718[[#This Row],[Category]]="","",IF(Table1515161718[[#This Row],[Category]]="M",COUNTIF($I$2:$I47,"M"),IF(Table1515161718[[#This Row],[Category]]="F",COUNTIF($I$2:$I47,"F"),0)))</f>
        <v/>
      </c>
      <c r="E47" s="34"/>
      <c r="F47" s="35"/>
      <c r="G47" s="36"/>
      <c r="H47" s="36"/>
      <c r="I47" s="37"/>
    </row>
    <row r="48" spans="1:9" x14ac:dyDescent="0.25">
      <c r="A48" s="27">
        <f>Table1515161718[[#This Row],[Full Name]]</f>
        <v>0</v>
      </c>
      <c r="B48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8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8" s="7" t="str">
        <f>IF(Table1515161718[[#This Row],[Category]]="","",IF(Table1515161718[[#This Row],[Category]]="M",COUNTIF($I$2:$I48,"M"),IF(Table1515161718[[#This Row],[Category]]="F",COUNTIF($I$2:$I48,"F"),0)))</f>
        <v/>
      </c>
      <c r="E48" s="34"/>
      <c r="F48" s="35"/>
      <c r="G48" s="36"/>
      <c r="H48" s="36"/>
      <c r="I48" s="37"/>
    </row>
    <row r="49" spans="1:9" x14ac:dyDescent="0.25">
      <c r="A49" s="27">
        <f>Table1515161718[[#This Row],[Full Name]]</f>
        <v>0</v>
      </c>
      <c r="B49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49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49" s="7" t="str">
        <f>IF(Table1515161718[[#This Row],[Category]]="","",IF(Table1515161718[[#This Row],[Category]]="M",COUNTIF($I$2:$I49,"M"),IF(Table1515161718[[#This Row],[Category]]="F",COUNTIF($I$2:$I49,"F"),0)))</f>
        <v/>
      </c>
      <c r="E49" s="34"/>
      <c r="F49" s="35"/>
      <c r="G49" s="36"/>
      <c r="H49" s="36"/>
      <c r="I49" s="37"/>
    </row>
    <row r="50" spans="1:9" x14ac:dyDescent="0.25">
      <c r="A50" s="27">
        <f>Table1515161718[[#This Row],[Full Name]]</f>
        <v>0</v>
      </c>
      <c r="B50" s="29" t="str">
        <f>IF(Table1515161718[[#This Row],[Full Name]]="","",IF(IFERROR(IFERROR(VLOOKUP(Table1515161718[[#This Row],[Full Name]],'Mens League'!B:B,1,FALSE),VLOOKUP(Table1515161718[[#This Row],[Full Name]],'Women''s League'!B:B,1,FALSE)),"NEEDS ADDING")="NEEDS ADDING","NEEDS ADDING","OK"))</f>
        <v/>
      </c>
      <c r="C50" s="29" t="str">
        <f>IF(Table1515161718[[#This Row],[Position]]="","",IF(Table1515161718[[#This Row],[Rank]]=1,30,IF(Table1515161718[[#This Row],[Rank]]=2,29,IF(Table1515161718[[#This Row],[Rank]]=3,28,IF(Table1515161718[[#This Row],[Rank]]=4,27,IF(Table1515161718[[#This Row],[Rank]]=5,26,IF(Table1515161718[[#This Row],[Rank]]=6,25,IF(Table1515161718[[#This Row],[Rank]]=7,24,IF(Table1515161718[[#This Row],[Rank]]=8,23,IF(Table1515161718[[#This Row],[Rank]]=9,22,IF(Table1515161718[[#This Row],[Rank]]=10,21,IF(Table1515161718[[#This Row],[Rank]]=11,20,IF(Table1515161718[[#This Row],[Rank]]=12,19,IF(Table1515161718[[#This Row],[Rank]]=13,18,IF(Table1515161718[[#This Row],[Rank]]=14,17,IF(Table1515161718[[#This Row],[Rank]]=15,16,IF(Table1515161718[[#This Row],[Rank]]=16,15,IF(Table1515161718[[#This Row],[Rank]]=17,14,IF(Table1515161718[[#This Row],[Rank]]=18,13,IF(Table1515161718[[#This Row],[Rank]]=19,12,IF(Table1515161718[[#This Row],[Rank]]=20,11,IF(Table1515161718[[#This Row],[Rank]]=21,10,IF(Table1515161718[[#This Row],[Rank]]=22,9,IF(Table1515161718[[#This Row],[Rank]]=23,8,IF(Table1515161718[[#This Row],[Rank]]=24,7,IF(Table1515161718[[#This Row],[Rank]]=25,6,IF(Table1515161718[[#This Row],[Rank]]=26,5,IF(Table1515161718[[#This Row],[Rank]]=27,4,IF(Table1515161718[[#This Row],[Rank]]=28,3,IF(Table1515161718[[#This Row],[Rank]]=29,2,IF(Table1515161718[[#This Row],[Rank]]=30,1,0)))))))))))))))))))))))))))))))</f>
        <v/>
      </c>
      <c r="D50" s="7" t="str">
        <f>IF(Table1515161718[[#This Row],[Category]]="","",IF(Table1515161718[[#This Row],[Category]]="M",COUNTIF($I$2:$I50,"M"),IF(Table1515161718[[#This Row],[Category]]="F",COUNTIF($I$2:$I50,"F"),0)))</f>
        <v/>
      </c>
      <c r="E50" s="34"/>
      <c r="F50" s="35"/>
      <c r="G50" s="36"/>
      <c r="H50" s="36"/>
      <c r="I50" s="37"/>
    </row>
  </sheetData>
  <phoneticPr fontId="11" type="noConversion"/>
  <conditionalFormatting sqref="B2:B50">
    <cfRule type="containsText" dxfId="5" priority="1" operator="containsText" text="OK">
      <formula>NOT(ISERROR(SEARCH("OK",B2)))</formula>
    </cfRule>
    <cfRule type="containsText" dxfId="4" priority="2" operator="containsText" text="NEEDS ADDING">
      <formula>NOT(ISERROR(SEARCH("NEEDS ADDING",B2)))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A747-636C-4496-8DEF-E6EFEFBEC7D0}">
  <sheetPr>
    <tabColor rgb="FF00B0F0"/>
  </sheetPr>
  <dimension ref="A1:I47"/>
  <sheetViews>
    <sheetView topLeftCell="B1" workbookViewId="0">
      <selection activeCell="I10" sqref="I10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Table1515161726[[#This Row],[Full Name]]</f>
        <v>BOLTON, Ian</v>
      </c>
      <c r="B2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2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30</v>
      </c>
      <c r="D2" s="7">
        <f>IF(Table1515161726[[#This Row],[Category]]="","",IF(Table1515161726[[#This Row],[Category]]="M",COUNTIF($I$2:$I2,"M"),IF(Table1515161726[[#This Row],[Category]]="F",COUNTIF($I$2:$I2,"F"),0)))</f>
        <v>1</v>
      </c>
      <c r="E2" s="34">
        <v>66</v>
      </c>
      <c r="F2" s="35">
        <v>2.7025462962962963E-2</v>
      </c>
      <c r="G2" s="36" t="s">
        <v>316</v>
      </c>
      <c r="H2" s="36" t="s">
        <v>5</v>
      </c>
      <c r="I2" s="52" t="s">
        <v>146</v>
      </c>
    </row>
    <row r="3" spans="1:9" x14ac:dyDescent="0.25">
      <c r="A3" s="26" t="str">
        <f>Table1515161726[[#This Row],[Full Name]]</f>
        <v>ALLSOP, Andrew</v>
      </c>
      <c r="B3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3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29</v>
      </c>
      <c r="D3" s="7">
        <f>IF(Table1515161726[[#This Row],[Category]]="","",IF(Table1515161726[[#This Row],[Category]]="M",COUNTIF($I$2:$I3,"M"),IF(Table1515161726[[#This Row],[Category]]="F",COUNTIF($I$2:$I3,"F"),0)))</f>
        <v>2</v>
      </c>
      <c r="E3" s="34">
        <v>197</v>
      </c>
      <c r="F3" s="35">
        <v>3.1053240740740742E-2</v>
      </c>
      <c r="G3" s="36" t="s">
        <v>411</v>
      </c>
      <c r="H3" s="36" t="s">
        <v>177</v>
      </c>
      <c r="I3" s="52" t="s">
        <v>146</v>
      </c>
    </row>
    <row r="4" spans="1:9" x14ac:dyDescent="0.25">
      <c r="A4" s="26" t="str">
        <f>Table1515161726[[#This Row],[Full Name]]</f>
        <v>BRADFORD, Mark</v>
      </c>
      <c r="B4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4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28</v>
      </c>
      <c r="D4" s="7">
        <f>IF(Table1515161726[[#This Row],[Category]]="","",IF(Table1515161726[[#This Row],[Category]]="M",COUNTIF($I$2:$I4,"M"),IF(Table1515161726[[#This Row],[Category]]="F",COUNTIF($I$2:$I4,"F"),0)))</f>
        <v>3</v>
      </c>
      <c r="E4" s="34">
        <v>247</v>
      </c>
      <c r="F4" s="35">
        <v>3.2430555555555553E-2</v>
      </c>
      <c r="G4" s="36" t="s">
        <v>257</v>
      </c>
      <c r="H4" s="36" t="s">
        <v>7</v>
      </c>
      <c r="I4" s="52" t="s">
        <v>146</v>
      </c>
    </row>
    <row r="5" spans="1:9" x14ac:dyDescent="0.25">
      <c r="A5" s="26" t="str">
        <f>Table1515161726[[#This Row],[Full Name]]</f>
        <v>SMITH, Victoria</v>
      </c>
      <c r="B5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5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30</v>
      </c>
      <c r="D5" s="7">
        <f>IF(Table1515161726[[#This Row],[Category]]="","",IF(Table1515161726[[#This Row],[Category]]="M",COUNTIF($I$2:$I5,"M"),IF(Table1515161726[[#This Row],[Category]]="F",COUNTIF($I$2:$I5,"F"),0)))</f>
        <v>1</v>
      </c>
      <c r="E5" s="34">
        <v>260</v>
      </c>
      <c r="F5" s="35">
        <v>3.2962962962962965E-2</v>
      </c>
      <c r="G5" s="36" t="s">
        <v>333</v>
      </c>
      <c r="H5" s="36" t="s">
        <v>41</v>
      </c>
      <c r="I5" s="52" t="s">
        <v>156</v>
      </c>
    </row>
    <row r="6" spans="1:9" x14ac:dyDescent="0.25">
      <c r="A6" s="26" t="str">
        <f>Table1515161726[[#This Row],[Full Name]]</f>
        <v>JEYES, Andrew</v>
      </c>
      <c r="B6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6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27</v>
      </c>
      <c r="D6" s="7">
        <f>IF(Table1515161726[[#This Row],[Category]]="","",IF(Table1515161726[[#This Row],[Category]]="M",COUNTIF($I$2:$I6,"M"),IF(Table1515161726[[#This Row],[Category]]="F",COUNTIF($I$2:$I6,"F"),0)))</f>
        <v>4</v>
      </c>
      <c r="E6" s="34">
        <v>281</v>
      </c>
      <c r="F6" s="35">
        <v>3.3703703703703701E-2</v>
      </c>
      <c r="G6" s="36" t="s">
        <v>412</v>
      </c>
      <c r="H6" s="36" t="s">
        <v>29</v>
      </c>
      <c r="I6" s="52" t="s">
        <v>146</v>
      </c>
    </row>
    <row r="7" spans="1:9" x14ac:dyDescent="0.25">
      <c r="A7" s="26" t="str">
        <f>Table1515161726[[#This Row],[Full Name]]</f>
        <v>GRAVES, Laura</v>
      </c>
      <c r="B7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7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29</v>
      </c>
      <c r="D7" s="7">
        <f>IF(Table1515161726[[#This Row],[Category]]="","",IF(Table1515161726[[#This Row],[Category]]="M",COUNTIF($I$2:$I7,"M"),IF(Table1515161726[[#This Row],[Category]]="F",COUNTIF($I$2:$I7,"F"),0)))</f>
        <v>2</v>
      </c>
      <c r="E7" s="34">
        <v>302</v>
      </c>
      <c r="F7" s="35">
        <v>3.439814814814815E-2</v>
      </c>
      <c r="G7" s="36" t="s">
        <v>198</v>
      </c>
      <c r="H7" s="36" t="s">
        <v>13</v>
      </c>
      <c r="I7" s="52" t="s">
        <v>156</v>
      </c>
    </row>
    <row r="8" spans="1:9" x14ac:dyDescent="0.25">
      <c r="A8" s="26" t="str">
        <f>Table1515161726[[#This Row],[Full Name]]</f>
        <v>OSBORNE, Carolyn</v>
      </c>
      <c r="B8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8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28</v>
      </c>
      <c r="D8" s="7">
        <f>IF(Table1515161726[[#This Row],[Category]]="","",IF(Table1515161726[[#This Row],[Category]]="M",COUNTIF($I$2:$I8,"M"),IF(Table1515161726[[#This Row],[Category]]="F",COUNTIF($I$2:$I8,"F"),0)))</f>
        <v>3</v>
      </c>
      <c r="E8" s="34">
        <v>344</v>
      </c>
      <c r="F8" s="35">
        <v>3.5694444444444445E-2</v>
      </c>
      <c r="G8" s="36" t="s">
        <v>349</v>
      </c>
      <c r="H8" s="36" t="s">
        <v>12</v>
      </c>
      <c r="I8" s="52" t="s">
        <v>156</v>
      </c>
    </row>
    <row r="9" spans="1:9" x14ac:dyDescent="0.25">
      <c r="A9" s="26" t="str">
        <f>Table1515161726[[#This Row],[Full Name]]</f>
        <v>BOLTON, Ellen</v>
      </c>
      <c r="B9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9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27</v>
      </c>
      <c r="D9" s="7">
        <f>IF(Table1515161726[[#This Row],[Category]]="","",IF(Table1515161726[[#This Row],[Category]]="M",COUNTIF($I$2:$I9,"M"),IF(Table1515161726[[#This Row],[Category]]="F",COUNTIF($I$2:$I9,"F"),0)))</f>
        <v>4</v>
      </c>
      <c r="E9" s="34">
        <v>429</v>
      </c>
      <c r="F9" s="35">
        <v>3.920138888888889E-2</v>
      </c>
      <c r="G9" s="36" t="s">
        <v>176</v>
      </c>
      <c r="H9" s="36" t="s">
        <v>133</v>
      </c>
      <c r="I9" s="52" t="s">
        <v>156</v>
      </c>
    </row>
    <row r="10" spans="1:9" x14ac:dyDescent="0.25">
      <c r="A10" s="26" t="str">
        <f>Table1515161726[[#This Row],[Full Name]]</f>
        <v>JEYES, Sally</v>
      </c>
      <c r="B10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10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26</v>
      </c>
      <c r="D10" s="7">
        <f>IF(Table1515161726[[#This Row],[Category]]="","",IF(Table1515161726[[#This Row],[Category]]="M",COUNTIF($I$2:$I10,"M"),IF(Table1515161726[[#This Row],[Category]]="F",COUNTIF($I$2:$I10,"F"),0)))</f>
        <v>5</v>
      </c>
      <c r="E10" s="34">
        <v>444</v>
      </c>
      <c r="F10" s="35">
        <v>3.9930555555555552E-2</v>
      </c>
      <c r="G10" s="36" t="s">
        <v>397</v>
      </c>
      <c r="H10" s="36" t="s">
        <v>32</v>
      </c>
      <c r="I10" s="52" t="s">
        <v>156</v>
      </c>
    </row>
    <row r="11" spans="1:9" x14ac:dyDescent="0.25">
      <c r="A11" s="26" t="str">
        <f>Table1515161726[[#This Row],[Full Name]]</f>
        <v>HILL, Simon</v>
      </c>
      <c r="B11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11" s="29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26</v>
      </c>
      <c r="D11" s="69">
        <f>IF(Table1515161726[[#This Row],[Category]]="","",IF(Table1515161726[[#This Row],[Category]]="M",COUNTIF($I$2:$I11,"M"),IF(Table1515161726[[#This Row],[Category]]="F",COUNTIF($I$2:$I11,"F"),0)))</f>
        <v>5</v>
      </c>
      <c r="E11" s="34">
        <v>463</v>
      </c>
      <c r="F11" s="53">
        <v>4.0625000000000001E-2</v>
      </c>
      <c r="G11" s="54" t="s">
        <v>413</v>
      </c>
      <c r="H11" s="54" t="s">
        <v>274</v>
      </c>
      <c r="I11" s="55" t="s">
        <v>146</v>
      </c>
    </row>
    <row r="12" spans="1:9" x14ac:dyDescent="0.25">
      <c r="A12" s="26" t="str">
        <f>Table1515161726[[#This Row],[Full Name]]</f>
        <v>HENFREY, Julie</v>
      </c>
      <c r="B12" s="28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>OK</v>
      </c>
      <c r="C12" s="28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>25</v>
      </c>
      <c r="D12" s="7">
        <f>IF(Table1515161726[[#This Row],[Category]]="","",IF(Table1515161726[[#This Row],[Category]]="M",COUNTIF($I$2:$I12,"M"),IF(Table1515161726[[#This Row],[Category]]="F",COUNTIF($I$2:$I12,"F"),0)))</f>
        <v>6</v>
      </c>
      <c r="E12" s="34">
        <v>555</v>
      </c>
      <c r="F12" s="35">
        <v>6.5787037037037033E-2</v>
      </c>
      <c r="G12" s="36" t="s">
        <v>414</v>
      </c>
      <c r="H12" s="36" t="s">
        <v>16</v>
      </c>
      <c r="I12" s="52" t="s">
        <v>156</v>
      </c>
    </row>
    <row r="13" spans="1:9" x14ac:dyDescent="0.25">
      <c r="A13" s="27">
        <f>Table1515161726[[#This Row],[Full Name]]</f>
        <v>0</v>
      </c>
      <c r="B13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3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3" s="7" t="str">
        <f>IF(Table1515161726[[#This Row],[Category]]="","",IF(Table1515161726[[#This Row],[Category]]="M",COUNTIF($I$2:$I13,"M"),IF(Table1515161726[[#This Row],[Category]]="F",COUNTIF($I$2:$I13,"F"),0)))</f>
        <v/>
      </c>
      <c r="E13" s="34"/>
      <c r="F13" s="35"/>
      <c r="G13" s="36"/>
      <c r="H13" s="36"/>
      <c r="I13" s="52"/>
    </row>
    <row r="14" spans="1:9" x14ac:dyDescent="0.25">
      <c r="A14" s="27">
        <f>Table1515161726[[#This Row],[Full Name]]</f>
        <v>0</v>
      </c>
      <c r="B14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4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4" s="7" t="str">
        <f>IF(Table1515161726[[#This Row],[Category]]="","",IF(Table1515161726[[#This Row],[Category]]="M",COUNTIF($I$2:$I14,"M"),IF(Table1515161726[[#This Row],[Category]]="F",COUNTIF($I$2:$I14,"F"),0)))</f>
        <v/>
      </c>
      <c r="E14" s="34"/>
      <c r="F14" s="35"/>
      <c r="G14" s="36"/>
      <c r="H14" s="36"/>
      <c r="I14" s="52"/>
    </row>
    <row r="15" spans="1:9" x14ac:dyDescent="0.25">
      <c r="A15" s="27">
        <f>Table1515161726[[#This Row],[Full Name]]</f>
        <v>0</v>
      </c>
      <c r="B15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5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5" s="7" t="str">
        <f>IF(Table1515161726[[#This Row],[Category]]="","",IF(Table1515161726[[#This Row],[Category]]="M",COUNTIF($I$2:$I15,"M"),IF(Table1515161726[[#This Row],[Category]]="F",COUNTIF($I$2:$I15,"F"),0)))</f>
        <v/>
      </c>
      <c r="E15" s="34"/>
      <c r="F15" s="35"/>
      <c r="G15" s="36"/>
      <c r="H15" s="36"/>
      <c r="I15" s="52"/>
    </row>
    <row r="16" spans="1:9" x14ac:dyDescent="0.25">
      <c r="A16" s="27">
        <f>Table1515161726[[#This Row],[Full Name]]</f>
        <v>0</v>
      </c>
      <c r="B16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6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6" s="7" t="str">
        <f>IF(Table1515161726[[#This Row],[Category]]="","",IF(Table1515161726[[#This Row],[Category]]="M",COUNTIF($I$2:$I16,"M"),IF(Table1515161726[[#This Row],[Category]]="F",COUNTIF($I$2:$I16,"F"),0)))</f>
        <v/>
      </c>
      <c r="E16" s="34"/>
      <c r="F16" s="35"/>
      <c r="G16" s="36"/>
      <c r="H16" s="36"/>
      <c r="I16" s="52"/>
    </row>
    <row r="17" spans="1:9" x14ac:dyDescent="0.25">
      <c r="A17" s="27">
        <f>Table1515161726[[#This Row],[Full Name]]</f>
        <v>0</v>
      </c>
      <c r="B17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7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7" s="7" t="str">
        <f>IF(Table1515161726[[#This Row],[Category]]="","",IF(Table1515161726[[#This Row],[Category]]="M",COUNTIF($I$2:$I17,"M"),IF(Table1515161726[[#This Row],[Category]]="F",COUNTIF($I$2:$I17,"F"),0)))</f>
        <v/>
      </c>
      <c r="E17" s="34"/>
      <c r="F17" s="35"/>
      <c r="G17" s="36"/>
      <c r="H17" s="36"/>
      <c r="I17" s="52"/>
    </row>
    <row r="18" spans="1:9" x14ac:dyDescent="0.25">
      <c r="A18" s="27">
        <f>Table1515161726[[#This Row],[Full Name]]</f>
        <v>0</v>
      </c>
      <c r="B18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8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8" s="7" t="str">
        <f>IF(Table1515161726[[#This Row],[Category]]="","",IF(Table1515161726[[#This Row],[Category]]="M",COUNTIF($I$2:$I18,"M"),IF(Table1515161726[[#This Row],[Category]]="F",COUNTIF($I$2:$I18,"F"),0)))</f>
        <v/>
      </c>
      <c r="E18" s="34"/>
      <c r="F18" s="35"/>
      <c r="G18" s="36"/>
      <c r="H18" s="36"/>
      <c r="I18" s="52"/>
    </row>
    <row r="19" spans="1:9" x14ac:dyDescent="0.25">
      <c r="A19" s="27">
        <f>Table1515161726[[#This Row],[Full Name]]</f>
        <v>0</v>
      </c>
      <c r="B19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19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19" s="7" t="str">
        <f>IF(Table1515161726[[#This Row],[Category]]="","",IF(Table1515161726[[#This Row],[Category]]="M",COUNTIF($I$2:$I19,"M"),IF(Table1515161726[[#This Row],[Category]]="F",COUNTIF($I$2:$I19,"F"),0)))</f>
        <v/>
      </c>
      <c r="E19" s="34"/>
      <c r="F19" s="35"/>
      <c r="G19" s="36"/>
      <c r="H19" s="36"/>
      <c r="I19" s="52"/>
    </row>
    <row r="20" spans="1:9" x14ac:dyDescent="0.25">
      <c r="A20" s="27">
        <f>Table1515161726[[#This Row],[Full Name]]</f>
        <v>0</v>
      </c>
      <c r="B20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0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0" s="7" t="str">
        <f>IF(Table1515161726[[#This Row],[Category]]="","",IF(Table1515161726[[#This Row],[Category]]="M",COUNTIF($I$2:$I20,"M"),IF(Table1515161726[[#This Row],[Category]]="F",COUNTIF($I$2:$I20,"F"),0)))</f>
        <v/>
      </c>
      <c r="E20" s="34"/>
      <c r="F20" s="35"/>
      <c r="G20" s="36"/>
      <c r="H20" s="36"/>
      <c r="I20" s="52"/>
    </row>
    <row r="21" spans="1:9" x14ac:dyDescent="0.25">
      <c r="A21" s="27">
        <f>Table1515161726[[#This Row],[Full Name]]</f>
        <v>0</v>
      </c>
      <c r="B21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1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1" s="7" t="str">
        <f>IF(Table1515161726[[#This Row],[Category]]="","",IF(Table1515161726[[#This Row],[Category]]="M",COUNTIF($I$2:$I21,"M"),IF(Table1515161726[[#This Row],[Category]]="F",COUNTIF($I$2:$I21,"F"),0)))</f>
        <v/>
      </c>
      <c r="E21" s="34"/>
      <c r="F21" s="35"/>
      <c r="G21" s="36"/>
      <c r="H21" s="36"/>
      <c r="I21" s="52"/>
    </row>
    <row r="22" spans="1:9" x14ac:dyDescent="0.25">
      <c r="A22" s="27">
        <f>Table1515161726[[#This Row],[Full Name]]</f>
        <v>0</v>
      </c>
      <c r="B22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2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2" s="7" t="str">
        <f>IF(Table1515161726[[#This Row],[Category]]="","",IF(Table1515161726[[#This Row],[Category]]="M",COUNTIF($I$2:$I22,"M"),IF(Table1515161726[[#This Row],[Category]]="F",COUNTIF($I$2:$I22,"F"),0)))</f>
        <v/>
      </c>
      <c r="E22" s="34"/>
      <c r="F22" s="35"/>
      <c r="G22" s="36"/>
      <c r="H22" s="36"/>
      <c r="I22" s="52"/>
    </row>
    <row r="23" spans="1:9" x14ac:dyDescent="0.25">
      <c r="A23" s="27">
        <f>Table1515161726[[#This Row],[Full Name]]</f>
        <v>0</v>
      </c>
      <c r="B23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3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3" s="7" t="str">
        <f>IF(Table1515161726[[#This Row],[Category]]="","",IF(Table1515161726[[#This Row],[Category]]="M",COUNTIF($I$2:$I23,"M"),IF(Table1515161726[[#This Row],[Category]]="F",COUNTIF($I$2:$I23,"F"),0)))</f>
        <v/>
      </c>
      <c r="E23" s="34"/>
      <c r="F23" s="35"/>
      <c r="G23" s="36"/>
      <c r="H23" s="36"/>
      <c r="I23" s="52"/>
    </row>
    <row r="24" spans="1:9" x14ac:dyDescent="0.25">
      <c r="A24" s="27">
        <f>Table1515161726[[#This Row],[Full Name]]</f>
        <v>0</v>
      </c>
      <c r="B24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4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4" s="7" t="str">
        <f>IF(Table1515161726[[#This Row],[Category]]="","",IF(Table1515161726[[#This Row],[Category]]="M",COUNTIF($I$2:$I24,"M"),IF(Table1515161726[[#This Row],[Category]]="F",COUNTIF($I$2:$I24,"F"),0)))</f>
        <v/>
      </c>
      <c r="E24" s="34"/>
      <c r="F24" s="35"/>
      <c r="G24" s="36"/>
      <c r="H24" s="36"/>
      <c r="I24" s="52"/>
    </row>
    <row r="25" spans="1:9" x14ac:dyDescent="0.25">
      <c r="A25" s="27">
        <f>Table1515161726[[#This Row],[Full Name]]</f>
        <v>0</v>
      </c>
      <c r="B25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5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5" s="7" t="str">
        <f>IF(Table1515161726[[#This Row],[Category]]="","",IF(Table1515161726[[#This Row],[Category]]="M",COUNTIF($I$2:$I25,"M"),IF(Table1515161726[[#This Row],[Category]]="F",COUNTIF($I$2:$I25,"F"),0)))</f>
        <v/>
      </c>
      <c r="E25" s="34"/>
      <c r="F25" s="35"/>
      <c r="G25" s="36"/>
      <c r="H25" s="36"/>
      <c r="I25" s="52"/>
    </row>
    <row r="26" spans="1:9" x14ac:dyDescent="0.25">
      <c r="A26" s="27">
        <f>Table1515161726[[#This Row],[Full Name]]</f>
        <v>0</v>
      </c>
      <c r="B26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6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6" s="7" t="str">
        <f>IF(Table1515161726[[#This Row],[Category]]="","",IF(Table1515161726[[#This Row],[Category]]="M",COUNTIF($I$2:$I26,"M"),IF(Table1515161726[[#This Row],[Category]]="F",COUNTIF($I$2:$I26,"F"),0)))</f>
        <v/>
      </c>
      <c r="E26" s="34"/>
      <c r="F26" s="35"/>
      <c r="G26" s="36"/>
      <c r="H26" s="36"/>
      <c r="I26" s="52"/>
    </row>
    <row r="27" spans="1:9" x14ac:dyDescent="0.25">
      <c r="A27" s="27">
        <f>Table1515161726[[#This Row],[Full Name]]</f>
        <v>0</v>
      </c>
      <c r="B27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7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7" s="7" t="str">
        <f>IF(Table1515161726[[#This Row],[Category]]="","",IF(Table1515161726[[#This Row],[Category]]="M",COUNTIF($I$2:$I27,"M"),IF(Table1515161726[[#This Row],[Category]]="F",COUNTIF($I$2:$I27,"F"),0)))</f>
        <v/>
      </c>
      <c r="E27" s="34"/>
      <c r="F27" s="35"/>
      <c r="G27" s="36"/>
      <c r="H27" s="36"/>
      <c r="I27" s="52"/>
    </row>
    <row r="28" spans="1:9" x14ac:dyDescent="0.25">
      <c r="A28" s="27">
        <f>Table1515161726[[#This Row],[Full Name]]</f>
        <v>0</v>
      </c>
      <c r="B28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8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8" s="7" t="str">
        <f>IF(Table1515161726[[#This Row],[Category]]="","",IF(Table1515161726[[#This Row],[Category]]="M",COUNTIF($I$2:$I28,"M"),IF(Table1515161726[[#This Row],[Category]]="F",COUNTIF($I$2:$I28,"F"),0)))</f>
        <v/>
      </c>
      <c r="E28" s="34"/>
      <c r="F28" s="35"/>
      <c r="G28" s="36"/>
      <c r="H28" s="36"/>
      <c r="I28" s="52"/>
    </row>
    <row r="29" spans="1:9" x14ac:dyDescent="0.25">
      <c r="A29" s="27">
        <f>Table1515161726[[#This Row],[Full Name]]</f>
        <v>0</v>
      </c>
      <c r="B29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29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29" s="7" t="str">
        <f>IF(Table1515161726[[#This Row],[Category]]="","",IF(Table1515161726[[#This Row],[Category]]="M",COUNTIF($I$2:$I29,"M"),IF(Table1515161726[[#This Row],[Category]]="F",COUNTIF($I$2:$I29,"F"),0)))</f>
        <v/>
      </c>
      <c r="E29" s="34"/>
      <c r="F29" s="35"/>
      <c r="G29" s="36"/>
      <c r="H29" s="36"/>
      <c r="I29" s="52"/>
    </row>
    <row r="30" spans="1:9" x14ac:dyDescent="0.25">
      <c r="A30" s="27">
        <f>Table1515161726[[#This Row],[Full Name]]</f>
        <v>0</v>
      </c>
      <c r="B30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0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0" s="7" t="str">
        <f>IF(Table1515161726[[#This Row],[Category]]="","",IF(Table1515161726[[#This Row],[Category]]="M",COUNTIF($I$2:$I30,"M"),IF(Table1515161726[[#This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Table1515161726[[#This Row],[Full Name]]</f>
        <v>0</v>
      </c>
      <c r="B31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1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1" s="7" t="str">
        <f>IF(Table1515161726[[#This Row],[Category]]="","",IF(Table1515161726[[#This Row],[Category]]="M",COUNTIF($I$2:$I31,"M"),IF(Table1515161726[[#This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Table1515161726[[#This Row],[Full Name]]</f>
        <v>0</v>
      </c>
      <c r="B32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2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2" s="7" t="str">
        <f>IF(Table1515161726[[#This Row],[Category]]="","",IF(Table1515161726[[#This Row],[Category]]="M",COUNTIF($I$2:$I32,"M"),IF(Table1515161726[[#This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Table1515161726[[#This Row],[Full Name]]</f>
        <v>0</v>
      </c>
      <c r="B33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3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3" s="7" t="str">
        <f>IF(Table1515161726[[#This Row],[Category]]="","",IF(Table1515161726[[#This Row],[Category]]="M",COUNTIF($I$2:$I33,"M"),IF(Table1515161726[[#This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Table1515161726[[#This Row],[Full Name]]</f>
        <v>0</v>
      </c>
      <c r="B34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4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4" s="7" t="str">
        <f>IF(Table1515161726[[#This Row],[Category]]="","",IF(Table1515161726[[#This Row],[Category]]="M",COUNTIF($I$2:$I34,"M"),IF(Table1515161726[[#This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Table1515161726[[#This Row],[Full Name]]</f>
        <v>0</v>
      </c>
      <c r="B35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5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5" s="7" t="str">
        <f>IF(Table1515161726[[#This Row],[Category]]="","",IF(Table1515161726[[#This Row],[Category]]="M",COUNTIF($I$2:$I35,"M"),IF(Table1515161726[[#This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Table1515161726[[#This Row],[Full Name]]</f>
        <v>0</v>
      </c>
      <c r="B36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6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6" s="7" t="str">
        <f>IF(Table1515161726[[#This Row],[Category]]="","",IF(Table1515161726[[#This Row],[Category]]="M",COUNTIF($I$2:$I36,"M"),IF(Table1515161726[[#This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Table1515161726[[#This Row],[Full Name]]</f>
        <v>0</v>
      </c>
      <c r="B37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7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7" s="7" t="str">
        <f>IF(Table1515161726[[#This Row],[Category]]="","",IF(Table1515161726[[#This Row],[Category]]="M",COUNTIF($I$2:$I37,"M"),IF(Table1515161726[[#This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Table1515161726[[#This Row],[Full Name]]</f>
        <v>0</v>
      </c>
      <c r="B38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8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8" s="7" t="str">
        <f>IF(Table1515161726[[#This Row],[Category]]="","",IF(Table1515161726[[#This Row],[Category]]="M",COUNTIF($I$2:$I38,"M"),IF(Table1515161726[[#This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Table1515161726[[#This Row],[Full Name]]</f>
        <v>0</v>
      </c>
      <c r="B39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39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39" s="7" t="str">
        <f>IF(Table1515161726[[#This Row],[Category]]="","",IF(Table1515161726[[#This Row],[Category]]="M",COUNTIF($I$2:$I39,"M"),IF(Table1515161726[[#This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Table1515161726[[#This Row],[Full Name]]</f>
        <v>0</v>
      </c>
      <c r="B40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0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0" s="7" t="str">
        <f>IF(Table1515161726[[#This Row],[Category]]="","",IF(Table1515161726[[#This Row],[Category]]="M",COUNTIF($I$2:$I40,"M"),IF(Table1515161726[[#This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Table1515161726[[#This Row],[Full Name]]</f>
        <v>0</v>
      </c>
      <c r="B41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1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1" s="7" t="str">
        <f>IF(Table1515161726[[#This Row],[Category]]="","",IF(Table1515161726[[#This Row],[Category]]="M",COUNTIF($I$2:$I41,"M"),IF(Table1515161726[[#This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Table1515161726[[#This Row],[Full Name]]</f>
        <v>0</v>
      </c>
      <c r="B42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2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2" s="7" t="str">
        <f>IF(Table1515161726[[#This Row],[Category]]="","",IF(Table1515161726[[#This Row],[Category]]="M",COUNTIF($I$2:$I42,"M"),IF(Table1515161726[[#This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Table1515161726[[#This Row],[Full Name]]</f>
        <v>0</v>
      </c>
      <c r="B43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3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3" s="7" t="str">
        <f>IF(Table1515161726[[#This Row],[Category]]="","",IF(Table1515161726[[#This Row],[Category]]="M",COUNTIF($I$2:$I43,"M"),IF(Table1515161726[[#This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Table1515161726[[#This Row],[Full Name]]</f>
        <v>0</v>
      </c>
      <c r="B44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4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4" s="7" t="str">
        <f>IF(Table1515161726[[#This Row],[Category]]="","",IF(Table1515161726[[#This Row],[Category]]="M",COUNTIF($I$2:$I44,"M"),IF(Table1515161726[[#This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Table1515161726[[#This Row],[Full Name]]</f>
        <v>0</v>
      </c>
      <c r="B45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5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5" s="7" t="str">
        <f>IF(Table1515161726[[#This Row],[Category]]="","",IF(Table1515161726[[#This Row],[Category]]="M",COUNTIF($I$2:$I45,"M"),IF(Table1515161726[[#This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Table1515161726[[#This Row],[Full Name]]</f>
        <v>0</v>
      </c>
      <c r="B46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6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6" s="7" t="str">
        <f>IF(Table1515161726[[#This Row],[Category]]="","",IF(Table1515161726[[#This Row],[Category]]="M",COUNTIF($I$2:$I46,"M"),IF(Table1515161726[[#This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Table1515161726[[#This Row],[Full Name]]</f>
        <v>0</v>
      </c>
      <c r="B47" s="29" t="str">
        <f>IF(Table1515161726[[#This Row],[Full Name]]="","",IF(IFERROR(IFERROR(VLOOKUP(Table1515161726[[#This Row],[Full Name]],'Mens League'!B:B,1,FALSE),VLOOKUP(Table1515161726[[#This Row],[Full Name]],'Women''s League'!B:B,1,FALSE)),"NEEDS ADDING")="NEEDS ADDING","NEEDS ADDING","OK"))</f>
        <v/>
      </c>
      <c r="C47" s="29" t="str">
        <f>IF(Table1515161726[[#This Row],[Position]]="","",IF(Table1515161726[[#This Row],[Rank]]=1,30,IF(Table1515161726[[#This Row],[Rank]]=2,29,IF(Table1515161726[[#This Row],[Rank]]=3,28,IF(Table1515161726[[#This Row],[Rank]]=4,27,IF(Table1515161726[[#This Row],[Rank]]=5,26,IF(Table1515161726[[#This Row],[Rank]]=6,25,IF(Table1515161726[[#This Row],[Rank]]=7,24,IF(Table1515161726[[#This Row],[Rank]]=8,23,IF(Table1515161726[[#This Row],[Rank]]=9,22,IF(Table1515161726[[#This Row],[Rank]]=10,21,IF(Table1515161726[[#This Row],[Rank]]=11,20,IF(Table1515161726[[#This Row],[Rank]]=12,19,IF(Table1515161726[[#This Row],[Rank]]=13,18,IF(Table1515161726[[#This Row],[Rank]]=14,17,IF(Table1515161726[[#This Row],[Rank]]=15,16,IF(Table1515161726[[#This Row],[Rank]]=16,15,IF(Table1515161726[[#This Row],[Rank]]=17,14,IF(Table1515161726[[#This Row],[Rank]]=18,13,IF(Table1515161726[[#This Row],[Rank]]=19,12,IF(Table1515161726[[#This Row],[Rank]]=20,11,IF(Table1515161726[[#This Row],[Rank]]=21,10,IF(Table1515161726[[#This Row],[Rank]]=22,9,IF(Table1515161726[[#This Row],[Rank]]=23,8,IF(Table1515161726[[#This Row],[Rank]]=24,7,IF(Table1515161726[[#This Row],[Rank]]=25,6,IF(Table1515161726[[#This Row],[Rank]]=26,5,IF(Table1515161726[[#This Row],[Rank]]=27,4,IF(Table1515161726[[#This Row],[Rank]]=28,3,IF(Table1515161726[[#This Row],[Rank]]=29,2,IF(Table1515161726[[#This Row],[Rank]]=30,1,0)))))))))))))))))))))))))))))))</f>
        <v/>
      </c>
      <c r="D47" s="7" t="str">
        <f>IF(Table1515161726[[#This Row],[Category]]="","",IF(Table1515161726[[#This Row],[Category]]="M",COUNTIF($I$2:$I47,"M"),IF(Table1515161726[[#This Row],[Category]]="F",COUNTIF($I$2:$I47,"F"),0)))</f>
        <v/>
      </c>
      <c r="E47" s="34"/>
      <c r="F47" s="35"/>
      <c r="G47" s="36"/>
      <c r="H47" s="36"/>
      <c r="I47" s="37"/>
    </row>
  </sheetData>
  <phoneticPr fontId="11" type="noConversion"/>
  <conditionalFormatting sqref="B2:B47">
    <cfRule type="containsText" dxfId="3" priority="1" operator="containsText" text="OK">
      <formula>NOT(ISERROR(SEARCH("OK",B2)))</formula>
    </cfRule>
    <cfRule type="containsText" dxfId="2" priority="2" operator="containsText" text="NEEDS ADDING">
      <formula>NOT(ISERROR(SEARCH("NEEDS ADDING",B2)))</formula>
    </cfRule>
  </conditionalFormatting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7DCC-F52B-4054-B6C1-4CD753DF2C4F}">
  <sheetPr>
    <tabColor rgb="FF00B0F0"/>
  </sheetPr>
  <dimension ref="A1:I47"/>
  <sheetViews>
    <sheetView topLeftCell="B1" workbookViewId="0">
      <selection activeCell="J1" sqref="J1:N1048576"/>
    </sheetView>
  </sheetViews>
  <sheetFormatPr defaultRowHeight="15" x14ac:dyDescent="0.25"/>
  <cols>
    <col min="1" max="1" width="23.28515625" hidden="1" customWidth="1"/>
    <col min="2" max="2" width="23.28515625" customWidth="1"/>
    <col min="3" max="4" width="13.7109375" customWidth="1"/>
    <col min="5" max="5" width="16" bestFit="1" customWidth="1"/>
    <col min="6" max="6" width="12.140625" style="21" bestFit="1" customWidth="1"/>
    <col min="7" max="7" width="12" bestFit="1" customWidth="1"/>
    <col min="8" max="8" width="23.28515625" bestFit="1" customWidth="1"/>
    <col min="9" max="9" width="17.28515625" bestFit="1" customWidth="1"/>
  </cols>
  <sheetData>
    <row r="1" spans="1:9" ht="17.25" x14ac:dyDescent="0.25">
      <c r="A1" s="22" t="s">
        <v>18</v>
      </c>
      <c r="B1" s="22" t="s">
        <v>87</v>
      </c>
      <c r="C1" s="22" t="s">
        <v>25</v>
      </c>
      <c r="D1" s="22" t="s">
        <v>86</v>
      </c>
      <c r="E1" s="23" t="s">
        <v>20</v>
      </c>
      <c r="F1" s="24" t="s">
        <v>27</v>
      </c>
      <c r="G1" s="23" t="s">
        <v>26</v>
      </c>
      <c r="H1" s="23" t="s">
        <v>0</v>
      </c>
      <c r="I1" s="25" t="s">
        <v>28</v>
      </c>
    </row>
    <row r="2" spans="1:9" x14ac:dyDescent="0.25">
      <c r="A2" s="26" t="str">
        <f>Table151516172627[[#This Row],[Full Name]]</f>
        <v>PARKER, Mark</v>
      </c>
      <c r="B2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2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30</v>
      </c>
      <c r="D2" s="7">
        <f>IF(Table151516172627[[#This Row],[Category]]="","",IF(Table151516172627[[#This Row],[Category]]="M",COUNTIF($I$2:$I2,"M"),IF(Table151516172627[[#This Row],[Category]]="F",COUNTIF($I$2:$I2,"F"),0)))</f>
        <v>1</v>
      </c>
      <c r="E2" s="34">
        <v>4</v>
      </c>
      <c r="F2" s="35">
        <v>2.8773148148148148E-2</v>
      </c>
      <c r="G2" s="36" t="s">
        <v>437</v>
      </c>
      <c r="H2" s="36" t="s">
        <v>2</v>
      </c>
      <c r="I2" s="52" t="s">
        <v>146</v>
      </c>
    </row>
    <row r="3" spans="1:9" x14ac:dyDescent="0.25">
      <c r="A3" s="26" t="str">
        <f>Table151516172627[[#This Row],[Full Name]]</f>
        <v>WIDEMAN, Emily</v>
      </c>
      <c r="B3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3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30</v>
      </c>
      <c r="D3" s="7">
        <f>IF(Table151516172627[[#This Row],[Category]]="","",IF(Table151516172627[[#This Row],[Category]]="M",COUNTIF($I$2:$I3,"M"),IF(Table151516172627[[#This Row],[Category]]="F",COUNTIF($I$2:$I3,"F"),0)))</f>
        <v>1</v>
      </c>
      <c r="E3" s="34">
        <v>35</v>
      </c>
      <c r="F3" s="35">
        <v>3.3101851851851855E-2</v>
      </c>
      <c r="G3" s="36" t="s">
        <v>229</v>
      </c>
      <c r="H3" s="36" t="s">
        <v>38</v>
      </c>
      <c r="I3" s="52" t="s">
        <v>156</v>
      </c>
    </row>
    <row r="4" spans="1:9" x14ac:dyDescent="0.25">
      <c r="A4" s="26" t="str">
        <f>Table151516172627[[#This Row],[Full Name]]</f>
        <v>STANLEY, Andrew</v>
      </c>
      <c r="B4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4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29</v>
      </c>
      <c r="D4" s="7">
        <f>IF(Table151516172627[[#This Row],[Category]]="","",IF(Table151516172627[[#This Row],[Category]]="M",COUNTIF($I$2:$I4,"M"),IF(Table151516172627[[#This Row],[Category]]="F",COUNTIF($I$2:$I4,"F"),0)))</f>
        <v>2</v>
      </c>
      <c r="E4" s="34">
        <v>45</v>
      </c>
      <c r="F4" s="35">
        <v>3.3912037037037039E-2</v>
      </c>
      <c r="G4" s="36" t="s">
        <v>363</v>
      </c>
      <c r="H4" s="36" t="s">
        <v>6</v>
      </c>
      <c r="I4" s="52" t="s">
        <v>146</v>
      </c>
    </row>
    <row r="5" spans="1:9" x14ac:dyDescent="0.25">
      <c r="A5" s="26" t="str">
        <f>Table151516172627[[#This Row],[Full Name]]</f>
        <v>HORN, Patrick</v>
      </c>
      <c r="B5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5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28</v>
      </c>
      <c r="D5" s="7">
        <f>IF(Table151516172627[[#This Row],[Category]]="","",IF(Table151516172627[[#This Row],[Category]]="M",COUNTIF($I$2:$I5,"M"),IF(Table151516172627[[#This Row],[Category]]="F",COUNTIF($I$2:$I5,"F"),0)))</f>
        <v>3</v>
      </c>
      <c r="E5" s="34">
        <v>51</v>
      </c>
      <c r="F5" s="35">
        <v>3.4664351851851849E-2</v>
      </c>
      <c r="G5" s="36" t="s">
        <v>280</v>
      </c>
      <c r="H5" s="36" t="s">
        <v>46</v>
      </c>
      <c r="I5" s="52" t="s">
        <v>146</v>
      </c>
    </row>
    <row r="6" spans="1:9" x14ac:dyDescent="0.25">
      <c r="A6" s="26" t="str">
        <f>Table151516172627[[#This Row],[Full Name]]</f>
        <v>HAMPSON, Richard</v>
      </c>
      <c r="B6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6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27</v>
      </c>
      <c r="D6" s="7">
        <f>IF(Table151516172627[[#This Row],[Category]]="","",IF(Table151516172627[[#This Row],[Category]]="M",COUNTIF($I$2:$I6,"M"),IF(Table151516172627[[#This Row],[Category]]="F",COUNTIF($I$2:$I6,"F"),0)))</f>
        <v>4</v>
      </c>
      <c r="E6" s="34">
        <v>60</v>
      </c>
      <c r="F6" s="35">
        <v>3.516203703703704E-2</v>
      </c>
      <c r="G6" s="36" t="s">
        <v>255</v>
      </c>
      <c r="H6" s="36" t="s">
        <v>118</v>
      </c>
      <c r="I6" s="52" t="s">
        <v>146</v>
      </c>
    </row>
    <row r="7" spans="1:9" x14ac:dyDescent="0.25">
      <c r="A7" s="26" t="str">
        <f>Table151516172627[[#This Row],[Full Name]]</f>
        <v>ALLSOP, Andrew</v>
      </c>
      <c r="B7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7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26</v>
      </c>
      <c r="D7" s="7">
        <f>IF(Table151516172627[[#This Row],[Category]]="","",IF(Table151516172627[[#This Row],[Category]]="M",COUNTIF($I$2:$I7,"M"),IF(Table151516172627[[#This Row],[Category]]="F",COUNTIF($I$2:$I7,"F"),0)))</f>
        <v>5</v>
      </c>
      <c r="E7" s="34">
        <v>61</v>
      </c>
      <c r="F7" s="35">
        <v>3.5451388888888886E-2</v>
      </c>
      <c r="G7" s="36" t="s">
        <v>189</v>
      </c>
      <c r="H7" s="36" t="s">
        <v>177</v>
      </c>
      <c r="I7" s="52" t="s">
        <v>146</v>
      </c>
    </row>
    <row r="8" spans="1:9" x14ac:dyDescent="0.25">
      <c r="A8" s="26" t="str">
        <f>Table151516172627[[#This Row],[Full Name]]</f>
        <v>BOTTRILL, Andrew</v>
      </c>
      <c r="B8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8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25</v>
      </c>
      <c r="D8" s="7">
        <f>IF(Table151516172627[[#This Row],[Category]]="","",IF(Table151516172627[[#This Row],[Category]]="M",COUNTIF($I$2:$I8,"M"),IF(Table151516172627[[#This Row],[Category]]="F",COUNTIF($I$2:$I8,"F"),0)))</f>
        <v>6</v>
      </c>
      <c r="E8" s="34">
        <v>79</v>
      </c>
      <c r="F8" s="35">
        <v>3.6967592592592594E-2</v>
      </c>
      <c r="G8" s="36" t="s">
        <v>348</v>
      </c>
      <c r="H8" s="36" t="s">
        <v>30</v>
      </c>
      <c r="I8" s="52" t="s">
        <v>146</v>
      </c>
    </row>
    <row r="9" spans="1:9" x14ac:dyDescent="0.25">
      <c r="A9" s="26" t="str">
        <f>Table151516172627[[#This Row],[Full Name]]</f>
        <v>SMITH, Victoria</v>
      </c>
      <c r="B9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9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29</v>
      </c>
      <c r="D9" s="7">
        <f>IF(Table151516172627[[#This Row],[Category]]="","",IF(Table151516172627[[#This Row],[Category]]="M",COUNTIF($I$2:$I9,"M"),IF(Table151516172627[[#This Row],[Category]]="F",COUNTIF($I$2:$I9,"F"),0)))</f>
        <v>2</v>
      </c>
      <c r="E9" s="34">
        <v>112</v>
      </c>
      <c r="F9" s="35">
        <v>3.8587962962962963E-2</v>
      </c>
      <c r="G9" s="36" t="s">
        <v>233</v>
      </c>
      <c r="H9" s="36" t="s">
        <v>41</v>
      </c>
      <c r="I9" s="52" t="s">
        <v>156</v>
      </c>
    </row>
    <row r="10" spans="1:9" x14ac:dyDescent="0.25">
      <c r="A10" s="26" t="str">
        <f>Table151516172627[[#This Row],[Full Name]]</f>
        <v>POWDRILL, Neil</v>
      </c>
      <c r="B10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0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24</v>
      </c>
      <c r="D10" s="7">
        <f>IF(Table151516172627[[#This Row],[Category]]="","",IF(Table151516172627[[#This Row],[Category]]="M",COUNTIF($I$2:$I10,"M"),IF(Table151516172627[[#This Row],[Category]]="F",COUNTIF($I$2:$I10,"F"),0)))</f>
        <v>7</v>
      </c>
      <c r="E10" s="34">
        <v>145</v>
      </c>
      <c r="F10" s="35">
        <v>4.0289351851851854E-2</v>
      </c>
      <c r="G10" s="36" t="s">
        <v>217</v>
      </c>
      <c r="H10" s="36" t="s">
        <v>222</v>
      </c>
      <c r="I10" s="52" t="s">
        <v>146</v>
      </c>
    </row>
    <row r="11" spans="1:9" x14ac:dyDescent="0.25">
      <c r="A11" s="26" t="str">
        <f>Table151516172627[[#This Row],[Full Name]]</f>
        <v>ALLSOP, Lucy</v>
      </c>
      <c r="B11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1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28</v>
      </c>
      <c r="D11" s="69">
        <f>IF(Table151516172627[[#This Row],[Category]]="","",IF(Table151516172627[[#This Row],[Category]]="M",COUNTIF($I$2:$I11,"M"),IF(Table151516172627[[#This Row],[Category]]="F",COUNTIF($I$2:$I11,"F"),0)))</f>
        <v>3</v>
      </c>
      <c r="E11" s="34">
        <v>147</v>
      </c>
      <c r="F11" s="53">
        <v>4.040509259259259E-2</v>
      </c>
      <c r="G11" s="54" t="s">
        <v>236</v>
      </c>
      <c r="H11" s="54" t="s">
        <v>43</v>
      </c>
      <c r="I11" s="55" t="s">
        <v>156</v>
      </c>
    </row>
    <row r="12" spans="1:9" x14ac:dyDescent="0.25">
      <c r="A12" s="26" t="str">
        <f>Table151516172627[[#This Row],[Full Name]]</f>
        <v>TURNER, Sophie</v>
      </c>
      <c r="B12" s="28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2" s="28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27</v>
      </c>
      <c r="D12" s="7">
        <f>IF(Table151516172627[[#This Row],[Category]]="","",IF(Table151516172627[[#This Row],[Category]]="M",COUNTIF($I$2:$I12,"M"),IF(Table151516172627[[#This Row],[Category]]="F",COUNTIF($I$2:$I12,"F"),0)))</f>
        <v>4</v>
      </c>
      <c r="E12" s="34">
        <v>197</v>
      </c>
      <c r="F12" s="35">
        <v>4.2858796296296298E-2</v>
      </c>
      <c r="G12" s="36" t="s">
        <v>380</v>
      </c>
      <c r="H12" s="36" t="s">
        <v>127</v>
      </c>
      <c r="I12" s="52" t="s">
        <v>156</v>
      </c>
    </row>
    <row r="13" spans="1:9" x14ac:dyDescent="0.25">
      <c r="A13" s="27" t="str">
        <f>Table151516172627[[#This Row],[Full Name]]</f>
        <v>STURLA, Tim</v>
      </c>
      <c r="B13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3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23</v>
      </c>
      <c r="D13" s="7">
        <f>IF(Table151516172627[[#This Row],[Category]]="","",IF(Table151516172627[[#This Row],[Category]]="M",COUNTIF($I$2:$I13,"M"),IF(Table151516172627[[#This Row],[Category]]="F",COUNTIF($I$2:$I13,"F"),0)))</f>
        <v>8</v>
      </c>
      <c r="E13" s="34">
        <v>206</v>
      </c>
      <c r="F13" s="35">
        <v>4.3310185185185188E-2</v>
      </c>
      <c r="G13" s="36" t="s">
        <v>248</v>
      </c>
      <c r="H13" s="36" t="s">
        <v>78</v>
      </c>
      <c r="I13" s="52" t="s">
        <v>146</v>
      </c>
    </row>
    <row r="14" spans="1:9" x14ac:dyDescent="0.25">
      <c r="A14" s="27" t="str">
        <f>Table151516172627[[#This Row],[Full Name]]</f>
        <v>BALL, Tom</v>
      </c>
      <c r="B14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4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22</v>
      </c>
      <c r="D14" s="7">
        <f>IF(Table151516172627[[#This Row],[Category]]="","",IF(Table151516172627[[#This Row],[Category]]="M",COUNTIF($I$2:$I14,"M"),IF(Table151516172627[[#This Row],[Category]]="F",COUNTIF($I$2:$I14,"F"),0)))</f>
        <v>9</v>
      </c>
      <c r="E14" s="34">
        <v>208</v>
      </c>
      <c r="F14" s="35">
        <v>4.3425925925925923E-2</v>
      </c>
      <c r="G14" s="36" t="s">
        <v>220</v>
      </c>
      <c r="H14" s="36" t="s">
        <v>114</v>
      </c>
      <c r="I14" s="52" t="s">
        <v>146</v>
      </c>
    </row>
    <row r="15" spans="1:9" x14ac:dyDescent="0.25">
      <c r="A15" s="27" t="str">
        <f>Table151516172627[[#This Row],[Full Name]]</f>
        <v>HILL, Simon</v>
      </c>
      <c r="B15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5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21</v>
      </c>
      <c r="D15" s="7">
        <f>IF(Table151516172627[[#This Row],[Category]]="","",IF(Table151516172627[[#This Row],[Category]]="M",COUNTIF($I$2:$I15,"M"),IF(Table151516172627[[#This Row],[Category]]="F",COUNTIF($I$2:$I15,"F"),0)))</f>
        <v>10</v>
      </c>
      <c r="E15" s="34">
        <v>255</v>
      </c>
      <c r="F15" s="35">
        <v>4.6469907407407404E-2</v>
      </c>
      <c r="G15" s="36" t="s">
        <v>206</v>
      </c>
      <c r="H15" s="36" t="s">
        <v>274</v>
      </c>
      <c r="I15" s="52" t="s">
        <v>146</v>
      </c>
    </row>
    <row r="16" spans="1:9" x14ac:dyDescent="0.25">
      <c r="A16" s="27" t="str">
        <f>Table151516172627[[#This Row],[Full Name]]</f>
        <v>HOPE, Jenny</v>
      </c>
      <c r="B16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6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26</v>
      </c>
      <c r="D16" s="7">
        <f>IF(Table151516172627[[#This Row],[Category]]="","",IF(Table151516172627[[#This Row],[Category]]="M",COUNTIF($I$2:$I16,"M"),IF(Table151516172627[[#This Row],[Category]]="F",COUNTIF($I$2:$I16,"F"),0)))</f>
        <v>5</v>
      </c>
      <c r="E16" s="34">
        <v>262</v>
      </c>
      <c r="F16" s="35">
        <v>4.7094907407407405E-2</v>
      </c>
      <c r="G16" s="36" t="s">
        <v>420</v>
      </c>
      <c r="H16" s="36" t="s">
        <v>23</v>
      </c>
      <c r="I16" s="52" t="s">
        <v>156</v>
      </c>
    </row>
    <row r="17" spans="1:9" x14ac:dyDescent="0.25">
      <c r="A17" s="27" t="str">
        <f>Table151516172627[[#This Row],[Full Name]]</f>
        <v>JEYES, Sally</v>
      </c>
      <c r="B17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7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25</v>
      </c>
      <c r="D17" s="7">
        <f>IF(Table151516172627[[#This Row],[Category]]="","",IF(Table151516172627[[#This Row],[Category]]="M",COUNTIF($I$2:$I17,"M"),IF(Table151516172627[[#This Row],[Category]]="F",COUNTIF($I$2:$I17,"F"),0)))</f>
        <v>6</v>
      </c>
      <c r="E17" s="34">
        <v>269</v>
      </c>
      <c r="F17" s="35">
        <v>4.7581018518518516E-2</v>
      </c>
      <c r="G17" s="36" t="s">
        <v>438</v>
      </c>
      <c r="H17" s="36" t="s">
        <v>32</v>
      </c>
      <c r="I17" s="52" t="s">
        <v>156</v>
      </c>
    </row>
    <row r="18" spans="1:9" x14ac:dyDescent="0.25">
      <c r="A18" s="27" t="str">
        <f>Table151516172627[[#This Row],[Full Name]]</f>
        <v>BARON, Keith</v>
      </c>
      <c r="B18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8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20</v>
      </c>
      <c r="D18" s="7">
        <f>IF(Table151516172627[[#This Row],[Category]]="","",IF(Table151516172627[[#This Row],[Category]]="M",COUNTIF($I$2:$I18,"M"),IF(Table151516172627[[#This Row],[Category]]="F",COUNTIF($I$2:$I18,"F"),0)))</f>
        <v>11</v>
      </c>
      <c r="E18" s="34">
        <v>287</v>
      </c>
      <c r="F18" s="35">
        <v>4.9641203703703701E-2</v>
      </c>
      <c r="G18" s="36" t="s">
        <v>439</v>
      </c>
      <c r="H18" s="36" t="s">
        <v>42</v>
      </c>
      <c r="I18" s="52" t="s">
        <v>146</v>
      </c>
    </row>
    <row r="19" spans="1:9" x14ac:dyDescent="0.25">
      <c r="A19" s="27" t="str">
        <f>Table151516172627[[#This Row],[Full Name]]</f>
        <v>TOWLE, Grania</v>
      </c>
      <c r="B19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>OK</v>
      </c>
      <c r="C19" s="29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>24</v>
      </c>
      <c r="D19" s="7">
        <f>IF(Table151516172627[[#This Row],[Category]]="","",IF(Table151516172627[[#This Row],[Category]]="M",COUNTIF($I$2:$I19,"M"),IF(Table151516172627[[#This Row],[Category]]="F",COUNTIF($I$2:$I19,"F"),0)))</f>
        <v>7</v>
      </c>
      <c r="E19" s="34">
        <v>327</v>
      </c>
      <c r="F19" s="35">
        <v>5.6724537037037039E-2</v>
      </c>
      <c r="G19" s="36" t="s">
        <v>167</v>
      </c>
      <c r="H19" s="36" t="s">
        <v>15</v>
      </c>
      <c r="I19" s="52" t="s">
        <v>156</v>
      </c>
    </row>
    <row r="20" spans="1:9" x14ac:dyDescent="0.25">
      <c r="A20" s="27">
        <f>Table151516172627[[#This Row],[Full Name]]</f>
        <v>0</v>
      </c>
      <c r="B20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0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0" s="7" t="str">
        <f>IF(Table151516172627[[#This Row],[Category]]="","",IF(Table151516172627[[#This Row],[Category]]="M",COUNTIF($I$2:$I20,"M"),IF(Table151516172627[[#This Row],[Category]]="F",COUNTIF($I$2:$I20,"F"),0)))</f>
        <v/>
      </c>
      <c r="E20" s="34"/>
      <c r="F20" s="35"/>
      <c r="G20" s="36"/>
      <c r="H20" s="36"/>
      <c r="I20" s="52"/>
    </row>
    <row r="21" spans="1:9" x14ac:dyDescent="0.25">
      <c r="A21" s="27">
        <f>Table151516172627[[#This Row],[Full Name]]</f>
        <v>0</v>
      </c>
      <c r="B21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1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1" s="7" t="str">
        <f>IF(Table151516172627[[#This Row],[Category]]="","",IF(Table151516172627[[#This Row],[Category]]="M",COUNTIF($I$2:$I21,"M"),IF(Table151516172627[[#This Row],[Category]]="F",COUNTIF($I$2:$I21,"F"),0)))</f>
        <v/>
      </c>
      <c r="E21" s="34"/>
      <c r="F21" s="35"/>
      <c r="G21" s="36"/>
      <c r="H21" s="36"/>
      <c r="I21" s="52"/>
    </row>
    <row r="22" spans="1:9" x14ac:dyDescent="0.25">
      <c r="A22" s="27">
        <f>Table151516172627[[#This Row],[Full Name]]</f>
        <v>0</v>
      </c>
      <c r="B22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2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2" s="7" t="str">
        <f>IF(Table151516172627[[#This Row],[Category]]="","",IF(Table151516172627[[#This Row],[Category]]="M",COUNTIF($I$2:$I22,"M"),IF(Table151516172627[[#This Row],[Category]]="F",COUNTIF($I$2:$I22,"F"),0)))</f>
        <v/>
      </c>
      <c r="E22" s="34"/>
      <c r="F22" s="35"/>
      <c r="G22" s="36"/>
      <c r="H22" s="36"/>
      <c r="I22" s="52"/>
    </row>
    <row r="23" spans="1:9" x14ac:dyDescent="0.25">
      <c r="A23" s="27">
        <f>Table151516172627[[#This Row],[Full Name]]</f>
        <v>0</v>
      </c>
      <c r="B23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3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3" s="7" t="str">
        <f>IF(Table151516172627[[#This Row],[Category]]="","",IF(Table151516172627[[#This Row],[Category]]="M",COUNTIF($I$2:$I23,"M"),IF(Table151516172627[[#This Row],[Category]]="F",COUNTIF($I$2:$I23,"F"),0)))</f>
        <v/>
      </c>
      <c r="E23" s="34"/>
      <c r="F23" s="35"/>
      <c r="G23" s="36"/>
      <c r="H23" s="36"/>
      <c r="I23" s="52"/>
    </row>
    <row r="24" spans="1:9" x14ac:dyDescent="0.25">
      <c r="A24" s="27">
        <f>Table151516172627[[#This Row],[Full Name]]</f>
        <v>0</v>
      </c>
      <c r="B24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4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4" s="7" t="str">
        <f>IF(Table151516172627[[#This Row],[Category]]="","",IF(Table151516172627[[#This Row],[Category]]="M",COUNTIF($I$2:$I24,"M"),IF(Table151516172627[[#This Row],[Category]]="F",COUNTIF($I$2:$I24,"F"),0)))</f>
        <v/>
      </c>
      <c r="E24" s="34"/>
      <c r="F24" s="35"/>
      <c r="G24" s="36"/>
      <c r="H24" s="36"/>
      <c r="I24" s="52"/>
    </row>
    <row r="25" spans="1:9" x14ac:dyDescent="0.25">
      <c r="A25" s="27">
        <f>Table151516172627[[#This Row],[Full Name]]</f>
        <v>0</v>
      </c>
      <c r="B25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5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5" s="7" t="str">
        <f>IF(Table151516172627[[#This Row],[Category]]="","",IF(Table151516172627[[#This Row],[Category]]="M",COUNTIF($I$2:$I25,"M"),IF(Table151516172627[[#This Row],[Category]]="F",COUNTIF($I$2:$I25,"F"),0)))</f>
        <v/>
      </c>
      <c r="E25" s="34"/>
      <c r="F25" s="35"/>
      <c r="G25" s="36"/>
      <c r="H25" s="36"/>
      <c r="I25" s="52"/>
    </row>
    <row r="26" spans="1:9" x14ac:dyDescent="0.25">
      <c r="A26" s="27">
        <f>Table151516172627[[#This Row],[Full Name]]</f>
        <v>0</v>
      </c>
      <c r="B26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6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6" s="7" t="str">
        <f>IF(Table151516172627[[#This Row],[Category]]="","",IF(Table151516172627[[#This Row],[Category]]="M",COUNTIF($I$2:$I26,"M"),IF(Table151516172627[[#This Row],[Category]]="F",COUNTIF($I$2:$I26,"F"),0)))</f>
        <v/>
      </c>
      <c r="E26" s="34"/>
      <c r="F26" s="35"/>
      <c r="G26" s="36"/>
      <c r="H26" s="36"/>
      <c r="I26" s="52"/>
    </row>
    <row r="27" spans="1:9" x14ac:dyDescent="0.25">
      <c r="A27" s="27">
        <f>Table151516172627[[#This Row],[Full Name]]</f>
        <v>0</v>
      </c>
      <c r="B27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7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7" s="7" t="str">
        <f>IF(Table151516172627[[#This Row],[Category]]="","",IF(Table151516172627[[#This Row],[Category]]="M",COUNTIF($I$2:$I27,"M"),IF(Table151516172627[[#This Row],[Category]]="F",COUNTIF($I$2:$I27,"F"),0)))</f>
        <v/>
      </c>
      <c r="E27" s="34"/>
      <c r="F27" s="35"/>
      <c r="G27" s="36"/>
      <c r="H27" s="36"/>
      <c r="I27" s="52"/>
    </row>
    <row r="28" spans="1:9" x14ac:dyDescent="0.25">
      <c r="A28" s="27">
        <f>Table151516172627[[#This Row],[Full Name]]</f>
        <v>0</v>
      </c>
      <c r="B28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8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8" s="7" t="str">
        <f>IF(Table151516172627[[#This Row],[Category]]="","",IF(Table151516172627[[#This Row],[Category]]="M",COUNTIF($I$2:$I28,"M"),IF(Table151516172627[[#This Row],[Category]]="F",COUNTIF($I$2:$I28,"F"),0)))</f>
        <v/>
      </c>
      <c r="E28" s="34"/>
      <c r="F28" s="35"/>
      <c r="G28" s="36"/>
      <c r="H28" s="36"/>
      <c r="I28" s="52"/>
    </row>
    <row r="29" spans="1:9" x14ac:dyDescent="0.25">
      <c r="A29" s="27">
        <f>Table151516172627[[#This Row],[Full Name]]</f>
        <v>0</v>
      </c>
      <c r="B29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29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29" s="7" t="str">
        <f>IF(Table151516172627[[#This Row],[Category]]="","",IF(Table151516172627[[#This Row],[Category]]="M",COUNTIF($I$2:$I29,"M"),IF(Table151516172627[[#This Row],[Category]]="F",COUNTIF($I$2:$I29,"F"),0)))</f>
        <v/>
      </c>
      <c r="E29" s="34"/>
      <c r="F29" s="35"/>
      <c r="G29" s="36"/>
      <c r="H29" s="36"/>
      <c r="I29" s="52"/>
    </row>
    <row r="30" spans="1:9" x14ac:dyDescent="0.25">
      <c r="A30" s="27">
        <f>Table151516172627[[#This Row],[Full Name]]</f>
        <v>0</v>
      </c>
      <c r="B30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0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0" s="7" t="str">
        <f>IF(Table151516172627[[#This Row],[Category]]="","",IF(Table151516172627[[#This Row],[Category]]="M",COUNTIF($I$2:$I30,"M"),IF(Table151516172627[[#This Row],[Category]]="F",COUNTIF($I$2:$I30,"F"),0)))</f>
        <v/>
      </c>
      <c r="E30" s="34"/>
      <c r="F30" s="35"/>
      <c r="G30" s="36"/>
      <c r="H30" s="36"/>
      <c r="I30" s="37"/>
    </row>
    <row r="31" spans="1:9" x14ac:dyDescent="0.25">
      <c r="A31" s="27">
        <f>Table151516172627[[#This Row],[Full Name]]</f>
        <v>0</v>
      </c>
      <c r="B31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1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1" s="7" t="str">
        <f>IF(Table151516172627[[#This Row],[Category]]="","",IF(Table151516172627[[#This Row],[Category]]="M",COUNTIF($I$2:$I31,"M"),IF(Table151516172627[[#This Row],[Category]]="F",COUNTIF($I$2:$I31,"F"),0)))</f>
        <v/>
      </c>
      <c r="E31" s="34"/>
      <c r="F31" s="35"/>
      <c r="G31" s="36"/>
      <c r="H31" s="36"/>
      <c r="I31" s="37"/>
    </row>
    <row r="32" spans="1:9" x14ac:dyDescent="0.25">
      <c r="A32" s="27">
        <f>Table151516172627[[#This Row],[Full Name]]</f>
        <v>0</v>
      </c>
      <c r="B32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2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2" s="7" t="str">
        <f>IF(Table151516172627[[#This Row],[Category]]="","",IF(Table151516172627[[#This Row],[Category]]="M",COUNTIF($I$2:$I32,"M"),IF(Table151516172627[[#This Row],[Category]]="F",COUNTIF($I$2:$I32,"F"),0)))</f>
        <v/>
      </c>
      <c r="E32" s="34"/>
      <c r="F32" s="35"/>
      <c r="G32" s="36"/>
      <c r="H32" s="36"/>
      <c r="I32" s="37"/>
    </row>
    <row r="33" spans="1:9" x14ac:dyDescent="0.25">
      <c r="A33" s="27">
        <f>Table151516172627[[#This Row],[Full Name]]</f>
        <v>0</v>
      </c>
      <c r="B33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3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3" s="7" t="str">
        <f>IF(Table151516172627[[#This Row],[Category]]="","",IF(Table151516172627[[#This Row],[Category]]="M",COUNTIF($I$2:$I33,"M"),IF(Table151516172627[[#This Row],[Category]]="F",COUNTIF($I$2:$I33,"F"),0)))</f>
        <v/>
      </c>
      <c r="E33" s="34"/>
      <c r="F33" s="35"/>
      <c r="G33" s="36"/>
      <c r="H33" s="36"/>
      <c r="I33" s="37"/>
    </row>
    <row r="34" spans="1:9" x14ac:dyDescent="0.25">
      <c r="A34" s="27">
        <f>Table151516172627[[#This Row],[Full Name]]</f>
        <v>0</v>
      </c>
      <c r="B34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4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4" s="7" t="str">
        <f>IF(Table151516172627[[#This Row],[Category]]="","",IF(Table151516172627[[#This Row],[Category]]="M",COUNTIF($I$2:$I34,"M"),IF(Table151516172627[[#This Row],[Category]]="F",COUNTIF($I$2:$I34,"F"),0)))</f>
        <v/>
      </c>
      <c r="E34" s="34"/>
      <c r="F34" s="35"/>
      <c r="G34" s="36"/>
      <c r="H34" s="36"/>
      <c r="I34" s="37"/>
    </row>
    <row r="35" spans="1:9" x14ac:dyDescent="0.25">
      <c r="A35" s="27">
        <f>Table151516172627[[#This Row],[Full Name]]</f>
        <v>0</v>
      </c>
      <c r="B35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5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5" s="7" t="str">
        <f>IF(Table151516172627[[#This Row],[Category]]="","",IF(Table151516172627[[#This Row],[Category]]="M",COUNTIF($I$2:$I35,"M"),IF(Table151516172627[[#This Row],[Category]]="F",COUNTIF($I$2:$I35,"F"),0)))</f>
        <v/>
      </c>
      <c r="E35" s="34"/>
      <c r="F35" s="35"/>
      <c r="G35" s="36"/>
      <c r="H35" s="36"/>
      <c r="I35" s="37"/>
    </row>
    <row r="36" spans="1:9" x14ac:dyDescent="0.25">
      <c r="A36" s="27">
        <f>Table151516172627[[#This Row],[Full Name]]</f>
        <v>0</v>
      </c>
      <c r="B36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6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6" s="7" t="str">
        <f>IF(Table151516172627[[#This Row],[Category]]="","",IF(Table151516172627[[#This Row],[Category]]="M",COUNTIF($I$2:$I36,"M"),IF(Table151516172627[[#This Row],[Category]]="F",COUNTIF($I$2:$I36,"F"),0)))</f>
        <v/>
      </c>
      <c r="E36" s="34"/>
      <c r="F36" s="35"/>
      <c r="G36" s="36"/>
      <c r="H36" s="36"/>
      <c r="I36" s="37"/>
    </row>
    <row r="37" spans="1:9" x14ac:dyDescent="0.25">
      <c r="A37" s="27">
        <f>Table151516172627[[#This Row],[Full Name]]</f>
        <v>0</v>
      </c>
      <c r="B37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7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7" s="7" t="str">
        <f>IF(Table151516172627[[#This Row],[Category]]="","",IF(Table151516172627[[#This Row],[Category]]="M",COUNTIF($I$2:$I37,"M"),IF(Table151516172627[[#This Row],[Category]]="F",COUNTIF($I$2:$I37,"F"),0)))</f>
        <v/>
      </c>
      <c r="E37" s="34"/>
      <c r="F37" s="35"/>
      <c r="G37" s="36"/>
      <c r="H37" s="36"/>
      <c r="I37" s="37"/>
    </row>
    <row r="38" spans="1:9" x14ac:dyDescent="0.25">
      <c r="A38" s="27">
        <f>Table151516172627[[#This Row],[Full Name]]</f>
        <v>0</v>
      </c>
      <c r="B38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8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8" s="7" t="str">
        <f>IF(Table151516172627[[#This Row],[Category]]="","",IF(Table151516172627[[#This Row],[Category]]="M",COUNTIF($I$2:$I38,"M"),IF(Table151516172627[[#This Row],[Category]]="F",COUNTIF($I$2:$I38,"F"),0)))</f>
        <v/>
      </c>
      <c r="E38" s="34"/>
      <c r="F38" s="35"/>
      <c r="G38" s="36"/>
      <c r="H38" s="36"/>
      <c r="I38" s="37"/>
    </row>
    <row r="39" spans="1:9" x14ac:dyDescent="0.25">
      <c r="A39" s="27">
        <f>Table151516172627[[#This Row],[Full Name]]</f>
        <v>0</v>
      </c>
      <c r="B39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39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39" s="7" t="str">
        <f>IF(Table151516172627[[#This Row],[Category]]="","",IF(Table151516172627[[#This Row],[Category]]="M",COUNTIF($I$2:$I39,"M"),IF(Table151516172627[[#This Row],[Category]]="F",COUNTIF($I$2:$I39,"F"),0)))</f>
        <v/>
      </c>
      <c r="E39" s="34"/>
      <c r="F39" s="35"/>
      <c r="G39" s="36"/>
      <c r="H39" s="36"/>
      <c r="I39" s="37"/>
    </row>
    <row r="40" spans="1:9" x14ac:dyDescent="0.25">
      <c r="A40" s="27">
        <f>Table151516172627[[#This Row],[Full Name]]</f>
        <v>0</v>
      </c>
      <c r="B40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0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0" s="7" t="str">
        <f>IF(Table151516172627[[#This Row],[Category]]="","",IF(Table151516172627[[#This Row],[Category]]="M",COUNTIF($I$2:$I40,"M"),IF(Table151516172627[[#This Row],[Category]]="F",COUNTIF($I$2:$I40,"F"),0)))</f>
        <v/>
      </c>
      <c r="E40" s="34"/>
      <c r="F40" s="35"/>
      <c r="G40" s="36"/>
      <c r="H40" s="36"/>
      <c r="I40" s="37"/>
    </row>
    <row r="41" spans="1:9" x14ac:dyDescent="0.25">
      <c r="A41" s="27">
        <f>Table151516172627[[#This Row],[Full Name]]</f>
        <v>0</v>
      </c>
      <c r="B41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1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1" s="7" t="str">
        <f>IF(Table151516172627[[#This Row],[Category]]="","",IF(Table151516172627[[#This Row],[Category]]="M",COUNTIF($I$2:$I41,"M"),IF(Table151516172627[[#This Row],[Category]]="F",COUNTIF($I$2:$I41,"F"),0)))</f>
        <v/>
      </c>
      <c r="E41" s="34"/>
      <c r="F41" s="35"/>
      <c r="G41" s="36"/>
      <c r="H41" s="36"/>
      <c r="I41" s="37"/>
    </row>
    <row r="42" spans="1:9" x14ac:dyDescent="0.25">
      <c r="A42" s="27">
        <f>Table151516172627[[#This Row],[Full Name]]</f>
        <v>0</v>
      </c>
      <c r="B42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2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2" s="7" t="str">
        <f>IF(Table151516172627[[#This Row],[Category]]="","",IF(Table151516172627[[#This Row],[Category]]="M",COUNTIF($I$2:$I42,"M"),IF(Table151516172627[[#This Row],[Category]]="F",COUNTIF($I$2:$I42,"F"),0)))</f>
        <v/>
      </c>
      <c r="E42" s="34"/>
      <c r="F42" s="35"/>
      <c r="G42" s="36"/>
      <c r="H42" s="36"/>
      <c r="I42" s="37"/>
    </row>
    <row r="43" spans="1:9" x14ac:dyDescent="0.25">
      <c r="A43" s="27">
        <f>Table151516172627[[#This Row],[Full Name]]</f>
        <v>0</v>
      </c>
      <c r="B43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3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3" s="7" t="str">
        <f>IF(Table151516172627[[#This Row],[Category]]="","",IF(Table151516172627[[#This Row],[Category]]="M",COUNTIF($I$2:$I43,"M"),IF(Table151516172627[[#This Row],[Category]]="F",COUNTIF($I$2:$I43,"F"),0)))</f>
        <v/>
      </c>
      <c r="E43" s="34"/>
      <c r="F43" s="35"/>
      <c r="G43" s="36"/>
      <c r="H43" s="36"/>
      <c r="I43" s="37"/>
    </row>
    <row r="44" spans="1:9" x14ac:dyDescent="0.25">
      <c r="A44" s="27">
        <f>Table151516172627[[#This Row],[Full Name]]</f>
        <v>0</v>
      </c>
      <c r="B44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4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4" s="7" t="str">
        <f>IF(Table151516172627[[#This Row],[Category]]="","",IF(Table151516172627[[#This Row],[Category]]="M",COUNTIF($I$2:$I44,"M"),IF(Table151516172627[[#This Row],[Category]]="F",COUNTIF($I$2:$I44,"F"),0)))</f>
        <v/>
      </c>
      <c r="E44" s="34"/>
      <c r="F44" s="35"/>
      <c r="G44" s="36"/>
      <c r="H44" s="36"/>
      <c r="I44" s="37"/>
    </row>
    <row r="45" spans="1:9" x14ac:dyDescent="0.25">
      <c r="A45" s="27">
        <f>Table151516172627[[#This Row],[Full Name]]</f>
        <v>0</v>
      </c>
      <c r="B45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5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5" s="7" t="str">
        <f>IF(Table151516172627[[#This Row],[Category]]="","",IF(Table151516172627[[#This Row],[Category]]="M",COUNTIF($I$2:$I45,"M"),IF(Table151516172627[[#This Row],[Category]]="F",COUNTIF($I$2:$I45,"F"),0)))</f>
        <v/>
      </c>
      <c r="E45" s="34"/>
      <c r="F45" s="35"/>
      <c r="G45" s="36"/>
      <c r="H45" s="36"/>
      <c r="I45" s="37"/>
    </row>
    <row r="46" spans="1:9" x14ac:dyDescent="0.25">
      <c r="A46" s="27">
        <f>Table151516172627[[#This Row],[Full Name]]</f>
        <v>0</v>
      </c>
      <c r="B46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6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6" s="7" t="str">
        <f>IF(Table151516172627[[#This Row],[Category]]="","",IF(Table151516172627[[#This Row],[Category]]="M",COUNTIF($I$2:$I46,"M"),IF(Table151516172627[[#This Row],[Category]]="F",COUNTIF($I$2:$I46,"F"),0)))</f>
        <v/>
      </c>
      <c r="E46" s="34"/>
      <c r="F46" s="35"/>
      <c r="G46" s="36"/>
      <c r="H46" s="36"/>
      <c r="I46" s="37"/>
    </row>
    <row r="47" spans="1:9" x14ac:dyDescent="0.25">
      <c r="A47" s="27">
        <f>Table151516172627[[#This Row],[Full Name]]</f>
        <v>0</v>
      </c>
      <c r="B47" s="29" t="str">
        <f>IF(Table151516172627[[#This Row],[Full Name]]="","",IF(IFERROR(IFERROR(VLOOKUP(Table151516172627[[#This Row],[Full Name]],'Mens League'!B:B,1,FALSE),VLOOKUP(Table151516172627[[#This Row],[Full Name]],'Women''s League'!B:B,1,FALSE)),"NEEDS ADDING")="NEEDS ADDING","NEEDS ADDING","OK"))</f>
        <v/>
      </c>
      <c r="C47" s="29" t="str">
        <f>IF(Table151516172627[[#This Row],[Position]]="","",IF(Table151516172627[[#This Row],[Rank]]=1,30,IF(Table151516172627[[#This Row],[Rank]]=2,29,IF(Table151516172627[[#This Row],[Rank]]=3,28,IF(Table151516172627[[#This Row],[Rank]]=4,27,IF(Table151516172627[[#This Row],[Rank]]=5,26,IF(Table151516172627[[#This Row],[Rank]]=6,25,IF(Table151516172627[[#This Row],[Rank]]=7,24,IF(Table151516172627[[#This Row],[Rank]]=8,23,IF(Table151516172627[[#This Row],[Rank]]=9,22,IF(Table151516172627[[#This Row],[Rank]]=10,21,IF(Table151516172627[[#This Row],[Rank]]=11,20,IF(Table151516172627[[#This Row],[Rank]]=12,19,IF(Table151516172627[[#This Row],[Rank]]=13,18,IF(Table151516172627[[#This Row],[Rank]]=14,17,IF(Table151516172627[[#This Row],[Rank]]=15,16,IF(Table151516172627[[#This Row],[Rank]]=16,15,IF(Table151516172627[[#This Row],[Rank]]=17,14,IF(Table151516172627[[#This Row],[Rank]]=18,13,IF(Table151516172627[[#This Row],[Rank]]=19,12,IF(Table151516172627[[#This Row],[Rank]]=20,11,IF(Table151516172627[[#This Row],[Rank]]=21,10,IF(Table151516172627[[#This Row],[Rank]]=22,9,IF(Table151516172627[[#This Row],[Rank]]=23,8,IF(Table151516172627[[#This Row],[Rank]]=24,7,IF(Table151516172627[[#This Row],[Rank]]=25,6,IF(Table151516172627[[#This Row],[Rank]]=26,5,IF(Table151516172627[[#This Row],[Rank]]=27,4,IF(Table151516172627[[#This Row],[Rank]]=28,3,IF(Table151516172627[[#This Row],[Rank]]=29,2,IF(Table151516172627[[#This Row],[Rank]]=30,1,0)))))))))))))))))))))))))))))))</f>
        <v/>
      </c>
      <c r="D47" s="7" t="str">
        <f>IF(Table151516172627[[#This Row],[Category]]="","",IF(Table151516172627[[#This Row],[Category]]="M",COUNTIF($I$2:$I47,"M"),IF(Table151516172627[[#This Row],[Category]]="F",COUNTIF($I$2:$I47,"F"),0)))</f>
        <v/>
      </c>
      <c r="E47" s="34"/>
      <c r="F47" s="35"/>
      <c r="G47" s="36"/>
      <c r="H47" s="36"/>
      <c r="I47" s="37"/>
    </row>
  </sheetData>
  <phoneticPr fontId="11" type="noConversion"/>
  <conditionalFormatting sqref="B2:B47">
    <cfRule type="containsText" dxfId="1" priority="1" operator="containsText" text="OK">
      <formula>NOT(ISERROR(SEARCH("OK",B2)))</formula>
    </cfRule>
    <cfRule type="containsText" dxfId="0" priority="2" operator="containsText" text="NEEDS ADDING">
      <formula>NOT(ISERROR(SEARCH("NEEDS ADDING",B2)))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2024 HALL OF FAME</vt:lpstr>
      <vt:lpstr>Women's League</vt:lpstr>
      <vt:lpstr>Mens League</vt:lpstr>
      <vt:lpstr>Derby 5K</vt:lpstr>
      <vt:lpstr>Grace Dieu XC</vt:lpstr>
      <vt:lpstr>Bosworth XC</vt:lpstr>
      <vt:lpstr>Kibworth 6</vt:lpstr>
      <vt:lpstr>Ivanhoe 20</vt:lpstr>
      <vt:lpstr>Run In Forest</vt:lpstr>
      <vt:lpstr>Stilton 7</vt:lpstr>
      <vt:lpstr>Uttoxeter HM</vt:lpstr>
      <vt:lpstr>West End 8</vt:lpstr>
      <vt:lpstr>Bosworth HM</vt:lpstr>
      <vt:lpstr>Swithland 6</vt:lpstr>
      <vt:lpstr>Washlands Relays</vt:lpstr>
      <vt:lpstr>Worthington 6</vt:lpstr>
      <vt:lpstr>Tara Kinder 10K</vt:lpstr>
      <vt:lpstr>Joy Cann 5</vt:lpstr>
      <vt:lpstr>Burton 10k</vt:lpstr>
      <vt:lpstr>Rotherby 8</vt:lpstr>
      <vt:lpstr>Lichfield 10k</vt:lpstr>
      <vt:lpstr>Adrian Smith</vt:lpstr>
      <vt:lpstr>Tamworth 5</vt:lpstr>
      <vt:lpstr>Bagworth XC</vt:lpstr>
      <vt:lpstr>Markfield 10k</vt:lpstr>
      <vt:lpstr>Shepshed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Emily</cp:lastModifiedBy>
  <dcterms:created xsi:type="dcterms:W3CDTF">2019-03-02T20:07:12Z</dcterms:created>
  <dcterms:modified xsi:type="dcterms:W3CDTF">2024-11-07T09:43:46Z</dcterms:modified>
</cp:coreProperties>
</file>